
<file path=[Content_Types].xml><?xml version="1.0" encoding="utf-8"?>
<Types xmlns="http://schemas.openxmlformats.org/package/2006/content-types">
  <Default Extension="bin" ContentType="application/vnd.openxmlformats-officedocument.spreadsheetml.printerSettings"/>
  <Default Extension="png" ContentType="image/png"/>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customXml/itemProps4.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6" rupBuild="4506"/>
  <workbookPr codeName="ThisWorkbook"/>
  <bookViews>
    <workbookView xWindow="-120" yWindow="-120" windowWidth="23190" windowHeight="10230" tabRatio="905"/>
  </bookViews>
  <sheets>
    <sheet name="Contingut i instruccions" sheetId="1" r:id="rId1"/>
    <sheet name="1. Dades generals del projecte" sheetId="2" r:id="rId2"/>
    <sheet name="2.1 Absorcions arbres" sheetId="17" r:id="rId3"/>
    <sheet name="2.2 Emissions restes tallada" sheetId="12" r:id="rId4"/>
    <sheet name="2.3 Emissions maquinària" sheetId="13" r:id="rId5"/>
    <sheet name="2.4 Emissions crema restes" sheetId="22" r:id="rId6"/>
    <sheet name="2.5 Emissions productes" sheetId="21" r:id="rId7"/>
    <sheet name="3. Resultats" sheetId="9" r:id="rId8"/>
    <sheet name="Dades_PA" sheetId="19" state="hidden" r:id="rId9"/>
  </sheets>
  <definedNames>
    <definedName name="Anys">Dades_PA!$B$5:$G$5</definedName>
    <definedName name="_xlnm.Print_Area" localSheetId="7">'3. Resultats'!$B$1:$Y$52</definedName>
    <definedName name="Espècies">Dades_PA!$A$45:$A$71</definedName>
    <definedName name="Producte">Dades_PA!$A$142:$A$145</definedName>
    <definedName name="Restes">Dades_PA!$A$38:$A$40</definedName>
    <definedName name="Tractament">Dades_PA!$A$77:$A$94</definedName>
  </definedNames>
  <calcPr calcId="125725"/>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L11" i="21"/>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54"/>
  <c r="L55"/>
  <c r="L56"/>
  <c r="L57"/>
  <c r="L58"/>
  <c r="L59"/>
  <c r="J12"/>
  <c r="J13"/>
  <c r="J14"/>
  <c r="J15"/>
  <c r="J16"/>
  <c r="J17"/>
  <c r="J18"/>
  <c r="J19"/>
  <c r="J20"/>
  <c r="J21"/>
  <c r="J22"/>
  <c r="J23"/>
  <c r="J24"/>
  <c r="J25"/>
  <c r="J26"/>
  <c r="J27"/>
  <c r="J28"/>
  <c r="J29"/>
  <c r="J30"/>
  <c r="J31"/>
  <c r="J32"/>
  <c r="J33"/>
  <c r="J34"/>
  <c r="J35"/>
  <c r="J36"/>
  <c r="J37"/>
  <c r="J38"/>
  <c r="J39"/>
  <c r="J40"/>
  <c r="J41"/>
  <c r="J42"/>
  <c r="J43"/>
  <c r="J44"/>
  <c r="J45"/>
  <c r="J46"/>
  <c r="J47"/>
  <c r="J48"/>
  <c r="J49"/>
  <c r="J50"/>
  <c r="J51"/>
  <c r="J52"/>
  <c r="J53"/>
  <c r="J54"/>
  <c r="J55"/>
  <c r="J56"/>
  <c r="J57"/>
  <c r="J58"/>
  <c r="J59"/>
  <c r="J60"/>
  <c r="J11"/>
  <c r="O24" i="12"/>
  <c r="O25"/>
  <c r="O26"/>
  <c r="O27"/>
  <c r="O28"/>
  <c r="O29"/>
  <c r="O30"/>
  <c r="O31"/>
  <c r="O32"/>
  <c r="O33"/>
  <c r="O34"/>
  <c r="O35"/>
  <c r="O36"/>
  <c r="O37"/>
  <c r="O38"/>
  <c r="O39"/>
  <c r="O40"/>
  <c r="O41"/>
  <c r="O42"/>
  <c r="O43"/>
  <c r="O44"/>
  <c r="O45"/>
  <c r="O46"/>
  <c r="O47"/>
  <c r="O48"/>
  <c r="O49"/>
  <c r="O50"/>
  <c r="O51"/>
  <c r="O52"/>
  <c r="O53"/>
  <c r="O54"/>
  <c r="O55"/>
  <c r="O56"/>
  <c r="O57"/>
  <c r="O58"/>
  <c r="O59"/>
  <c r="O14"/>
  <c r="O15"/>
  <c r="M15"/>
  <c r="M16"/>
  <c r="M17"/>
  <c r="M18"/>
  <c r="M19"/>
  <c r="M20"/>
  <c r="M21"/>
  <c r="M22"/>
  <c r="M23"/>
  <c r="M24"/>
  <c r="M25"/>
  <c r="M26"/>
  <c r="M27"/>
  <c r="M28"/>
  <c r="M29"/>
  <c r="M30"/>
  <c r="M31"/>
  <c r="M32"/>
  <c r="M33"/>
  <c r="M34"/>
  <c r="M35"/>
  <c r="M36"/>
  <c r="M37"/>
  <c r="M38"/>
  <c r="M39"/>
  <c r="M40"/>
  <c r="M41"/>
  <c r="M42"/>
  <c r="M43"/>
  <c r="M44"/>
  <c r="M45"/>
  <c r="M46"/>
  <c r="M47"/>
  <c r="M48"/>
  <c r="M49"/>
  <c r="M50"/>
  <c r="M51"/>
  <c r="M52"/>
  <c r="M53"/>
  <c r="M54"/>
  <c r="M55"/>
  <c r="M56"/>
  <c r="M57"/>
  <c r="M58"/>
  <c r="M59"/>
  <c r="M14"/>
  <c r="B116" i="19"/>
  <c r="L52" i="13"/>
  <c r="L53"/>
  <c r="L54"/>
  <c r="L55"/>
  <c r="L56"/>
  <c r="L57"/>
  <c r="L58"/>
  <c r="L59"/>
  <c r="E85" i="19"/>
  <c r="H5" i="9" l="1"/>
  <c r="O12" i="21"/>
  <c r="P12"/>
  <c r="O13"/>
  <c r="P13"/>
  <c r="Q13"/>
  <c r="O14"/>
  <c r="P14"/>
  <c r="Q14"/>
  <c r="O15"/>
  <c r="P15"/>
  <c r="Q15"/>
  <c r="O16"/>
  <c r="P16"/>
  <c r="Q16"/>
  <c r="O17"/>
  <c r="P17"/>
  <c r="Q17"/>
  <c r="O18"/>
  <c r="P18"/>
  <c r="Q18"/>
  <c r="O19"/>
  <c r="P19"/>
  <c r="Q19"/>
  <c r="O20"/>
  <c r="P20"/>
  <c r="Q20"/>
  <c r="O21"/>
  <c r="O22"/>
  <c r="P22"/>
  <c r="Q22"/>
  <c r="O23"/>
  <c r="P23"/>
  <c r="Q23"/>
  <c r="O24"/>
  <c r="P24"/>
  <c r="Q24"/>
  <c r="O25"/>
  <c r="P25"/>
  <c r="Q25"/>
  <c r="O26"/>
  <c r="P26"/>
  <c r="Q26"/>
  <c r="O27"/>
  <c r="P27"/>
  <c r="Q27"/>
  <c r="O28"/>
  <c r="P28"/>
  <c r="Q28"/>
  <c r="O29"/>
  <c r="P29"/>
  <c r="Q29"/>
  <c r="O30"/>
  <c r="P30"/>
  <c r="Q30"/>
  <c r="O31"/>
  <c r="O32"/>
  <c r="P32"/>
  <c r="Q32"/>
  <c r="O33"/>
  <c r="P33"/>
  <c r="Q33"/>
  <c r="O34"/>
  <c r="P34"/>
  <c r="Q34"/>
  <c r="O35"/>
  <c r="P35"/>
  <c r="Q35"/>
  <c r="O36"/>
  <c r="P36"/>
  <c r="Q36"/>
  <c r="O37"/>
  <c r="P37"/>
  <c r="Q37"/>
  <c r="O38"/>
  <c r="P38"/>
  <c r="Q38"/>
  <c r="O39"/>
  <c r="P39"/>
  <c r="Q39"/>
  <c r="O40"/>
  <c r="P40"/>
  <c r="Q40"/>
  <c r="O41"/>
  <c r="O42"/>
  <c r="P42"/>
  <c r="Q42"/>
  <c r="O43"/>
  <c r="P43"/>
  <c r="Q43"/>
  <c r="O44"/>
  <c r="P44"/>
  <c r="Q44"/>
  <c r="O45"/>
  <c r="P45"/>
  <c r="Q45"/>
  <c r="O46"/>
  <c r="P46"/>
  <c r="Q46"/>
  <c r="O47"/>
  <c r="P47"/>
  <c r="Q47"/>
  <c r="O48"/>
  <c r="P48"/>
  <c r="Q48"/>
  <c r="O49"/>
  <c r="P49"/>
  <c r="Q49"/>
  <c r="O50"/>
  <c r="P50"/>
  <c r="Q50"/>
  <c r="O51"/>
  <c r="O52"/>
  <c r="P52"/>
  <c r="Q52"/>
  <c r="O53"/>
  <c r="P53"/>
  <c r="Q53"/>
  <c r="O54"/>
  <c r="P54"/>
  <c r="Q54"/>
  <c r="O55"/>
  <c r="P55"/>
  <c r="Q55"/>
  <c r="O56"/>
  <c r="P56"/>
  <c r="Q56"/>
  <c r="O57"/>
  <c r="P57"/>
  <c r="Q57"/>
  <c r="O58"/>
  <c r="P58"/>
  <c r="Q58"/>
  <c r="O59"/>
  <c r="P59"/>
  <c r="Q59"/>
  <c r="O60"/>
  <c r="P60"/>
  <c r="Q60"/>
  <c r="O11"/>
  <c r="U15" i="12"/>
  <c r="U17"/>
  <c r="U19"/>
  <c r="U20"/>
  <c r="U21"/>
  <c r="U22"/>
  <c r="U23"/>
  <c r="U25"/>
  <c r="U26"/>
  <c r="U27"/>
  <c r="U28"/>
  <c r="U29"/>
  <c r="U30"/>
  <c r="U31"/>
  <c r="U32"/>
  <c r="U33"/>
  <c r="U35"/>
  <c r="U36"/>
  <c r="U37"/>
  <c r="U38"/>
  <c r="U39"/>
  <c r="U40"/>
  <c r="U41"/>
  <c r="U42"/>
  <c r="U43"/>
  <c r="U45"/>
  <c r="U46"/>
  <c r="U47"/>
  <c r="U48"/>
  <c r="U49"/>
  <c r="U50"/>
  <c r="U51"/>
  <c r="U52"/>
  <c r="U53"/>
  <c r="U55"/>
  <c r="U56"/>
  <c r="U57"/>
  <c r="U58"/>
  <c r="U59"/>
  <c r="U60"/>
  <c r="U61"/>
  <c r="U62"/>
  <c r="U63"/>
  <c r="T19"/>
  <c r="T20"/>
  <c r="T21"/>
  <c r="T22"/>
  <c r="T23"/>
  <c r="T25"/>
  <c r="T26"/>
  <c r="T27"/>
  <c r="T28"/>
  <c r="T29"/>
  <c r="T30"/>
  <c r="T31"/>
  <c r="T32"/>
  <c r="T33"/>
  <c r="T35"/>
  <c r="T36"/>
  <c r="T37"/>
  <c r="T38"/>
  <c r="T39"/>
  <c r="T40"/>
  <c r="T41"/>
  <c r="T42"/>
  <c r="T43"/>
  <c r="T45"/>
  <c r="T46"/>
  <c r="T47"/>
  <c r="T48"/>
  <c r="T49"/>
  <c r="T50"/>
  <c r="T51"/>
  <c r="T52"/>
  <c r="T53"/>
  <c r="T55"/>
  <c r="T56"/>
  <c r="T57"/>
  <c r="T58"/>
  <c r="T59"/>
  <c r="T60"/>
  <c r="T61"/>
  <c r="T62"/>
  <c r="T63"/>
  <c r="F15"/>
  <c r="F16"/>
  <c r="F17"/>
  <c r="F18"/>
  <c r="F19"/>
  <c r="F20"/>
  <c r="F21"/>
  <c r="F22"/>
  <c r="F23"/>
  <c r="F14"/>
  <c r="J48" i="17"/>
  <c r="J49"/>
  <c r="J50"/>
  <c r="J51"/>
  <c r="J52"/>
  <c r="J53"/>
  <c r="J54"/>
  <c r="J55"/>
  <c r="J56"/>
  <c r="J47"/>
  <c r="J38"/>
  <c r="J39"/>
  <c r="J40"/>
  <c r="J41"/>
  <c r="J42"/>
  <c r="J43"/>
  <c r="J44"/>
  <c r="J45"/>
  <c r="J46"/>
  <c r="J37"/>
  <c r="J28"/>
  <c r="J29"/>
  <c r="J30"/>
  <c r="J31"/>
  <c r="J32"/>
  <c r="J33"/>
  <c r="J34"/>
  <c r="J35"/>
  <c r="J36"/>
  <c r="J27"/>
  <c r="J18"/>
  <c r="J19"/>
  <c r="J20"/>
  <c r="J21"/>
  <c r="J22"/>
  <c r="J23"/>
  <c r="J24"/>
  <c r="J25"/>
  <c r="J26"/>
  <c r="J17"/>
  <c r="J16"/>
  <c r="J8"/>
  <c r="J9"/>
  <c r="J10"/>
  <c r="J11"/>
  <c r="J12"/>
  <c r="J13"/>
  <c r="J14"/>
  <c r="J15"/>
  <c r="J7"/>
  <c r="I57"/>
  <c r="O9" i="9" s="1"/>
  <c r="H35" i="2"/>
  <c r="E51" i="21"/>
  <c r="E41"/>
  <c r="E31"/>
  <c r="E21"/>
  <c r="E11"/>
  <c r="E47" i="22"/>
  <c r="E37"/>
  <c r="E27"/>
  <c r="E17"/>
  <c r="E7"/>
  <c r="E50" i="13"/>
  <c r="E40"/>
  <c r="E29"/>
  <c r="E19"/>
  <c r="E9"/>
  <c r="E54" i="12"/>
  <c r="E44"/>
  <c r="E34"/>
  <c r="E24"/>
  <c r="E14"/>
  <c r="D47" i="17"/>
  <c r="D37"/>
  <c r="D27"/>
  <c r="D17"/>
  <c r="D7"/>
  <c r="F47"/>
  <c r="G47" s="1"/>
  <c r="L34" i="2" s="1"/>
  <c r="F37" i="17"/>
  <c r="G37" s="1"/>
  <c r="L33" i="2" s="1"/>
  <c r="F27" i="17"/>
  <c r="G27" s="1"/>
  <c r="L32" i="2" s="1"/>
  <c r="F17" i="17"/>
  <c r="G17" s="1"/>
  <c r="L31" i="2" s="1"/>
  <c r="F7" i="17"/>
  <c r="G7" s="1"/>
  <c r="L30" i="2" s="1"/>
  <c r="T9" i="9" l="1"/>
  <c r="R60" i="21"/>
  <c r="R59"/>
  <c r="R58"/>
  <c r="R57"/>
  <c r="R56"/>
  <c r="R55"/>
  <c r="R54"/>
  <c r="R53"/>
  <c r="R52"/>
  <c r="R50"/>
  <c r="R49"/>
  <c r="R48"/>
  <c r="R47"/>
  <c r="R46"/>
  <c r="R45"/>
  <c r="R44"/>
  <c r="R43"/>
  <c r="R42"/>
  <c r="R40"/>
  <c r="R39"/>
  <c r="R38"/>
  <c r="R37"/>
  <c r="R36"/>
  <c r="R35"/>
  <c r="R34"/>
  <c r="R33"/>
  <c r="R32"/>
  <c r="R30"/>
  <c r="R29"/>
  <c r="R28"/>
  <c r="R27"/>
  <c r="R26"/>
  <c r="R25"/>
  <c r="R24"/>
  <c r="R23"/>
  <c r="R22"/>
  <c r="R20"/>
  <c r="R19"/>
  <c r="R18"/>
  <c r="R17"/>
  <c r="R16"/>
  <c r="R15"/>
  <c r="R14"/>
  <c r="R13"/>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11"/>
  <c r="T53" i="22"/>
  <c r="T54"/>
  <c r="T55"/>
  <c r="T56"/>
  <c r="S53"/>
  <c r="S54"/>
  <c r="S55"/>
  <c r="S56"/>
  <c r="R53"/>
  <c r="R54"/>
  <c r="R55"/>
  <c r="R56"/>
  <c r="Q53"/>
  <c r="Q54"/>
  <c r="Q55"/>
  <c r="Q56"/>
  <c r="P53"/>
  <c r="P54"/>
  <c r="P55"/>
  <c r="P56"/>
  <c r="O53"/>
  <c r="O54"/>
  <c r="O55"/>
  <c r="O56"/>
  <c r="H8"/>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7"/>
  <c r="J11" i="13"/>
  <c r="K11"/>
  <c r="J12"/>
  <c r="K12"/>
  <c r="J13"/>
  <c r="K13"/>
  <c r="J14"/>
  <c r="K14"/>
  <c r="J15"/>
  <c r="K15"/>
  <c r="J16"/>
  <c r="K16"/>
  <c r="J17"/>
  <c r="K17"/>
  <c r="J18"/>
  <c r="K18"/>
  <c r="J20"/>
  <c r="K20"/>
  <c r="J21"/>
  <c r="K21"/>
  <c r="J22"/>
  <c r="K22"/>
  <c r="J23"/>
  <c r="K23"/>
  <c r="J24"/>
  <c r="K24"/>
  <c r="J25"/>
  <c r="K25"/>
  <c r="J26"/>
  <c r="K26"/>
  <c r="J27"/>
  <c r="K27"/>
  <c r="J28"/>
  <c r="K28"/>
  <c r="J30"/>
  <c r="K30"/>
  <c r="J31"/>
  <c r="K31"/>
  <c r="J32"/>
  <c r="K32"/>
  <c r="J33"/>
  <c r="K33"/>
  <c r="J34"/>
  <c r="K34"/>
  <c r="J35"/>
  <c r="K35"/>
  <c r="J36"/>
  <c r="K36"/>
  <c r="J37"/>
  <c r="K37"/>
  <c r="J38"/>
  <c r="K38"/>
  <c r="J39"/>
  <c r="K39"/>
  <c r="J41"/>
  <c r="K41"/>
  <c r="J42"/>
  <c r="K42"/>
  <c r="J43"/>
  <c r="K43"/>
  <c r="J44"/>
  <c r="K44"/>
  <c r="J45"/>
  <c r="K45"/>
  <c r="J46"/>
  <c r="K46"/>
  <c r="J47"/>
  <c r="K47"/>
  <c r="J48"/>
  <c r="K48"/>
  <c r="J49"/>
  <c r="K49"/>
  <c r="J51"/>
  <c r="K51"/>
  <c r="J52"/>
  <c r="K52"/>
  <c r="J53"/>
  <c r="K53"/>
  <c r="J54"/>
  <c r="K54"/>
  <c r="J55"/>
  <c r="K55"/>
  <c r="J56"/>
  <c r="K56"/>
  <c r="J57"/>
  <c r="K57"/>
  <c r="J58"/>
  <c r="K58"/>
  <c r="J59"/>
  <c r="K59"/>
  <c r="I64" i="12"/>
  <c r="H9" i="9"/>
  <c r="T7"/>
  <c r="O7"/>
  <c r="H7"/>
  <c r="T5"/>
  <c r="H3"/>
  <c r="E83" i="19" l="1"/>
  <c r="H83"/>
  <c r="E86"/>
  <c r="E87"/>
  <c r="E88"/>
  <c r="E89"/>
  <c r="E90"/>
  <c r="E91"/>
  <c r="E92"/>
  <c r="E93"/>
  <c r="E94"/>
  <c r="E84"/>
  <c r="H78" s="1"/>
  <c r="M56" i="22"/>
  <c r="K56"/>
  <c r="I56"/>
  <c r="F56"/>
  <c r="M55"/>
  <c r="K55"/>
  <c r="I55"/>
  <c r="F55"/>
  <c r="M54"/>
  <c r="K54"/>
  <c r="I54"/>
  <c r="F54"/>
  <c r="M53"/>
  <c r="K53"/>
  <c r="I53"/>
  <c r="F53"/>
  <c r="M52"/>
  <c r="K52"/>
  <c r="I52"/>
  <c r="F52"/>
  <c r="M51"/>
  <c r="K51"/>
  <c r="I51"/>
  <c r="F51"/>
  <c r="M50"/>
  <c r="K50"/>
  <c r="I50"/>
  <c r="F50"/>
  <c r="M49"/>
  <c r="K49"/>
  <c r="I49"/>
  <c r="F49"/>
  <c r="M48"/>
  <c r="K48"/>
  <c r="I48"/>
  <c r="F48"/>
  <c r="M47"/>
  <c r="K47"/>
  <c r="I47"/>
  <c r="G47"/>
  <c r="F47"/>
  <c r="M46"/>
  <c r="K46"/>
  <c r="I46"/>
  <c r="F46"/>
  <c r="M45"/>
  <c r="K45"/>
  <c r="I45"/>
  <c r="F45"/>
  <c r="M44"/>
  <c r="K44"/>
  <c r="I44"/>
  <c r="F44"/>
  <c r="M43"/>
  <c r="K43"/>
  <c r="I43"/>
  <c r="F43"/>
  <c r="M42"/>
  <c r="K42"/>
  <c r="I42"/>
  <c r="F42"/>
  <c r="M41"/>
  <c r="K41"/>
  <c r="I41"/>
  <c r="F41"/>
  <c r="M40"/>
  <c r="K40"/>
  <c r="I40"/>
  <c r="F40"/>
  <c r="M39"/>
  <c r="K39"/>
  <c r="I39"/>
  <c r="F39"/>
  <c r="M38"/>
  <c r="K38"/>
  <c r="I38"/>
  <c r="F38"/>
  <c r="M37"/>
  <c r="K37"/>
  <c r="I37"/>
  <c r="G37"/>
  <c r="F37"/>
  <c r="M36"/>
  <c r="K36"/>
  <c r="I36"/>
  <c r="F36"/>
  <c r="M35"/>
  <c r="K35"/>
  <c r="I35"/>
  <c r="F35"/>
  <c r="M34"/>
  <c r="K34"/>
  <c r="I34"/>
  <c r="F34"/>
  <c r="M33"/>
  <c r="K33"/>
  <c r="I33"/>
  <c r="F33"/>
  <c r="M32"/>
  <c r="K32"/>
  <c r="I32"/>
  <c r="F32"/>
  <c r="M31"/>
  <c r="K31"/>
  <c r="I31"/>
  <c r="F31"/>
  <c r="M30"/>
  <c r="K30"/>
  <c r="I30"/>
  <c r="F30"/>
  <c r="M29"/>
  <c r="K29"/>
  <c r="I29"/>
  <c r="F29"/>
  <c r="M28"/>
  <c r="K28"/>
  <c r="I28"/>
  <c r="F28"/>
  <c r="M27"/>
  <c r="K27"/>
  <c r="I27"/>
  <c r="G27"/>
  <c r="F27"/>
  <c r="M26"/>
  <c r="K26"/>
  <c r="I26"/>
  <c r="F26"/>
  <c r="M25"/>
  <c r="K25"/>
  <c r="I25"/>
  <c r="F25"/>
  <c r="M24"/>
  <c r="K24"/>
  <c r="I24"/>
  <c r="F24"/>
  <c r="M23"/>
  <c r="K23"/>
  <c r="I23"/>
  <c r="F23"/>
  <c r="M22"/>
  <c r="K22"/>
  <c r="I22"/>
  <c r="F22"/>
  <c r="M21"/>
  <c r="K21"/>
  <c r="I21"/>
  <c r="F21"/>
  <c r="M20"/>
  <c r="K20"/>
  <c r="I20"/>
  <c r="F20"/>
  <c r="M19"/>
  <c r="K19"/>
  <c r="I19"/>
  <c r="F19"/>
  <c r="M18"/>
  <c r="K18"/>
  <c r="I18"/>
  <c r="F18"/>
  <c r="M17"/>
  <c r="K17"/>
  <c r="I17"/>
  <c r="G17"/>
  <c r="F17"/>
  <c r="M16"/>
  <c r="K16"/>
  <c r="I16"/>
  <c r="F16"/>
  <c r="M15"/>
  <c r="K15"/>
  <c r="I15"/>
  <c r="F15"/>
  <c r="M14"/>
  <c r="K14"/>
  <c r="I14"/>
  <c r="F14"/>
  <c r="M13"/>
  <c r="K13"/>
  <c r="I13"/>
  <c r="F13"/>
  <c r="M12"/>
  <c r="K12"/>
  <c r="I12"/>
  <c r="F12"/>
  <c r="M11"/>
  <c r="K11"/>
  <c r="I11"/>
  <c r="F11"/>
  <c r="M10"/>
  <c r="K10"/>
  <c r="I10"/>
  <c r="F10"/>
  <c r="M9"/>
  <c r="K9"/>
  <c r="I9"/>
  <c r="F9"/>
  <c r="M8"/>
  <c r="K8"/>
  <c r="I8"/>
  <c r="F8"/>
  <c r="M7"/>
  <c r="K7"/>
  <c r="I7"/>
  <c r="G7"/>
  <c r="F7"/>
  <c r="I11" i="13"/>
  <c r="L11" s="1"/>
  <c r="I12"/>
  <c r="L12" s="1"/>
  <c r="I13"/>
  <c r="L13" s="1"/>
  <c r="I14"/>
  <c r="L14" s="1"/>
  <c r="I15"/>
  <c r="L15" s="1"/>
  <c r="I16"/>
  <c r="L16" s="1"/>
  <c r="I17"/>
  <c r="L17" s="1"/>
  <c r="I18"/>
  <c r="L18" s="1"/>
  <c r="I20"/>
  <c r="L20" s="1"/>
  <c r="I21"/>
  <c r="L21" s="1"/>
  <c r="I22"/>
  <c r="L22" s="1"/>
  <c r="I23"/>
  <c r="L23" s="1"/>
  <c r="I24"/>
  <c r="L24" s="1"/>
  <c r="I25"/>
  <c r="L25" s="1"/>
  <c r="I26"/>
  <c r="L26" s="1"/>
  <c r="I27"/>
  <c r="L27" s="1"/>
  <c r="I28"/>
  <c r="L28" s="1"/>
  <c r="I30"/>
  <c r="L30" s="1"/>
  <c r="I31"/>
  <c r="L31" s="1"/>
  <c r="I32"/>
  <c r="L32" s="1"/>
  <c r="I33"/>
  <c r="L33" s="1"/>
  <c r="I34"/>
  <c r="L34" s="1"/>
  <c r="I35"/>
  <c r="L35" s="1"/>
  <c r="I36"/>
  <c r="L36" s="1"/>
  <c r="I37"/>
  <c r="L37" s="1"/>
  <c r="I38"/>
  <c r="L38" s="1"/>
  <c r="I39"/>
  <c r="L39" s="1"/>
  <c r="I41"/>
  <c r="L41" s="1"/>
  <c r="I42"/>
  <c r="L42" s="1"/>
  <c r="I43"/>
  <c r="L43" s="1"/>
  <c r="I44"/>
  <c r="L44" s="1"/>
  <c r="I45"/>
  <c r="L45" s="1"/>
  <c r="I46"/>
  <c r="L46" s="1"/>
  <c r="I47"/>
  <c r="L47" s="1"/>
  <c r="I48"/>
  <c r="L48" s="1"/>
  <c r="I49"/>
  <c r="L49" s="1"/>
  <c r="I51"/>
  <c r="L51" s="1"/>
  <c r="I52"/>
  <c r="I53"/>
  <c r="I54"/>
  <c r="I55"/>
  <c r="I56"/>
  <c r="I57"/>
  <c r="I58"/>
  <c r="I59"/>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82" i="19"/>
  <c r="B82"/>
  <c r="C82"/>
  <c r="D82"/>
  <c r="B83"/>
  <c r="C83"/>
  <c r="D83"/>
  <c r="I77"/>
  <c r="B77" s="1"/>
  <c r="I29" i="13" s="1"/>
  <c r="I80" i="19"/>
  <c r="I79"/>
  <c r="I78"/>
  <c r="P19" i="22" l="1"/>
  <c r="O19"/>
  <c r="T18"/>
  <c r="S18"/>
  <c r="R18"/>
  <c r="Q18"/>
  <c r="R21"/>
  <c r="Q21"/>
  <c r="R24"/>
  <c r="Q24"/>
  <c r="P30"/>
  <c r="O30"/>
  <c r="P33"/>
  <c r="O33"/>
  <c r="O36"/>
  <c r="P36"/>
  <c r="T50"/>
  <c r="S50"/>
  <c r="P18"/>
  <c r="O18"/>
  <c r="P21"/>
  <c r="O21"/>
  <c r="P24"/>
  <c r="O24"/>
  <c r="T38"/>
  <c r="S38"/>
  <c r="T41"/>
  <c r="S41"/>
  <c r="T44"/>
  <c r="S44"/>
  <c r="R50"/>
  <c r="Q50"/>
  <c r="R38"/>
  <c r="Q38"/>
  <c r="R41"/>
  <c r="Q41"/>
  <c r="R44"/>
  <c r="Q44"/>
  <c r="O50"/>
  <c r="P50"/>
  <c r="T20"/>
  <c r="S20"/>
  <c r="T23"/>
  <c r="S23"/>
  <c r="T26"/>
  <c r="S26"/>
  <c r="R29"/>
  <c r="Q29"/>
  <c r="R32"/>
  <c r="Q32"/>
  <c r="R35"/>
  <c r="Q35"/>
  <c r="P38"/>
  <c r="O38"/>
  <c r="P41"/>
  <c r="O41"/>
  <c r="P44"/>
  <c r="O44"/>
  <c r="S32"/>
  <c r="T32"/>
  <c r="R20"/>
  <c r="Q20"/>
  <c r="R23"/>
  <c r="Q23"/>
  <c r="R26"/>
  <c r="Q26"/>
  <c r="P29"/>
  <c r="O29"/>
  <c r="P32"/>
  <c r="O32"/>
  <c r="P35"/>
  <c r="O35"/>
  <c r="T52"/>
  <c r="S52"/>
  <c r="P20"/>
  <c r="O20"/>
  <c r="P23"/>
  <c r="O23"/>
  <c r="P26"/>
  <c r="O26"/>
  <c r="T40"/>
  <c r="S40"/>
  <c r="T43"/>
  <c r="S43"/>
  <c r="T46"/>
  <c r="S46"/>
  <c r="R49"/>
  <c r="Q49"/>
  <c r="R52"/>
  <c r="Q52"/>
  <c r="T28"/>
  <c r="S28"/>
  <c r="T31"/>
  <c r="S31"/>
  <c r="T34"/>
  <c r="S34"/>
  <c r="R40"/>
  <c r="Q40"/>
  <c r="R43"/>
  <c r="Q43"/>
  <c r="R46"/>
  <c r="Q46"/>
  <c r="P49"/>
  <c r="O49"/>
  <c r="O52"/>
  <c r="P52"/>
  <c r="T35"/>
  <c r="S35"/>
  <c r="S19"/>
  <c r="T19"/>
  <c r="T22"/>
  <c r="S22"/>
  <c r="T25"/>
  <c r="S25"/>
  <c r="R28"/>
  <c r="Q28"/>
  <c r="R31"/>
  <c r="Q31"/>
  <c r="R34"/>
  <c r="Q34"/>
  <c r="P40"/>
  <c r="O40"/>
  <c r="P43"/>
  <c r="O43"/>
  <c r="P46"/>
  <c r="O46"/>
  <c r="T29"/>
  <c r="S29"/>
  <c r="R19"/>
  <c r="Q19"/>
  <c r="R22"/>
  <c r="Q22"/>
  <c r="R25"/>
  <c r="Q25"/>
  <c r="P28"/>
  <c r="O28"/>
  <c r="P31"/>
  <c r="O31"/>
  <c r="P34"/>
  <c r="O34"/>
  <c r="T48"/>
  <c r="S48"/>
  <c r="T51"/>
  <c r="S51"/>
  <c r="O25"/>
  <c r="P25"/>
  <c r="T39"/>
  <c r="S39"/>
  <c r="T42"/>
  <c r="S42"/>
  <c r="S45"/>
  <c r="T45"/>
  <c r="R48"/>
  <c r="Q48"/>
  <c r="R51"/>
  <c r="Q51"/>
  <c r="P22"/>
  <c r="O22"/>
  <c r="T30"/>
  <c r="S30"/>
  <c r="T33"/>
  <c r="S33"/>
  <c r="T36"/>
  <c r="S36"/>
  <c r="R39"/>
  <c r="Q39"/>
  <c r="R42"/>
  <c r="Q42"/>
  <c r="R45"/>
  <c r="Q45"/>
  <c r="P48"/>
  <c r="O48"/>
  <c r="O51"/>
  <c r="P51"/>
  <c r="T21"/>
  <c r="S21"/>
  <c r="T24"/>
  <c r="S24"/>
  <c r="R30"/>
  <c r="Q30"/>
  <c r="R33"/>
  <c r="Q33"/>
  <c r="R36"/>
  <c r="Q36"/>
  <c r="P39"/>
  <c r="O39"/>
  <c r="P42"/>
  <c r="O42"/>
  <c r="P45"/>
  <c r="O45"/>
  <c r="I10" i="13"/>
  <c r="I50"/>
  <c r="I40"/>
  <c r="I9"/>
  <c r="T49" i="22"/>
  <c r="S49"/>
  <c r="T37"/>
  <c r="S37"/>
  <c r="Q37"/>
  <c r="R37"/>
  <c r="S27"/>
  <c r="T27"/>
  <c r="Q27"/>
  <c r="R27"/>
  <c r="P27"/>
  <c r="O27"/>
  <c r="L47"/>
  <c r="R47" s="1"/>
  <c r="G48"/>
  <c r="J48" s="1"/>
  <c r="G56"/>
  <c r="L56" s="1"/>
  <c r="G55"/>
  <c r="N55" s="1"/>
  <c r="G54"/>
  <c r="N54" s="1"/>
  <c r="G51"/>
  <c r="N51" s="1"/>
  <c r="G50"/>
  <c r="J50" s="1"/>
  <c r="G53"/>
  <c r="J53" s="1"/>
  <c r="G52"/>
  <c r="J52" s="1"/>
  <c r="G49"/>
  <c r="N49" s="1"/>
  <c r="J37"/>
  <c r="P37" s="1"/>
  <c r="G38"/>
  <c r="J38" s="1"/>
  <c r="G45"/>
  <c r="L45" s="1"/>
  <c r="G43"/>
  <c r="N43" s="1"/>
  <c r="G42"/>
  <c r="J42" s="1"/>
  <c r="G41"/>
  <c r="J41" s="1"/>
  <c r="G40"/>
  <c r="N40" s="1"/>
  <c r="G39"/>
  <c r="J39" s="1"/>
  <c r="G44"/>
  <c r="N44" s="1"/>
  <c r="G46"/>
  <c r="L46" s="1"/>
  <c r="J27"/>
  <c r="G31"/>
  <c r="J31" s="1"/>
  <c r="G30"/>
  <c r="L30" s="1"/>
  <c r="G29"/>
  <c r="N29" s="1"/>
  <c r="G28"/>
  <c r="J28" s="1"/>
  <c r="G35"/>
  <c r="N35" s="1"/>
  <c r="G36"/>
  <c r="J36" s="1"/>
  <c r="G34"/>
  <c r="L34" s="1"/>
  <c r="G33"/>
  <c r="N33" s="1"/>
  <c r="G32"/>
  <c r="N32" s="1"/>
  <c r="T13"/>
  <c r="S13"/>
  <c r="T16"/>
  <c r="S16"/>
  <c r="T14"/>
  <c r="S14"/>
  <c r="R13"/>
  <c r="Q13"/>
  <c r="Q16"/>
  <c r="R16"/>
  <c r="T12"/>
  <c r="S12"/>
  <c r="P16"/>
  <c r="O16"/>
  <c r="T15"/>
  <c r="S15"/>
  <c r="O13"/>
  <c r="P13"/>
  <c r="Q12"/>
  <c r="R12"/>
  <c r="R15"/>
  <c r="Q15"/>
  <c r="P12"/>
  <c r="O12"/>
  <c r="P15"/>
  <c r="O15"/>
  <c r="R14"/>
  <c r="Q14"/>
  <c r="P14"/>
  <c r="O14"/>
  <c r="J17"/>
  <c r="G18"/>
  <c r="J18" s="1"/>
  <c r="G25"/>
  <c r="J25" s="1"/>
  <c r="G24"/>
  <c r="J24" s="1"/>
  <c r="G23"/>
  <c r="L23" s="1"/>
  <c r="G22"/>
  <c r="N22" s="1"/>
  <c r="G21"/>
  <c r="N21" s="1"/>
  <c r="G20"/>
  <c r="L20" s="1"/>
  <c r="G19"/>
  <c r="L19" s="1"/>
  <c r="G26"/>
  <c r="J26" s="1"/>
  <c r="J7"/>
  <c r="G11"/>
  <c r="J11" s="1"/>
  <c r="G10"/>
  <c r="N10" s="1"/>
  <c r="G16"/>
  <c r="J16" s="1"/>
  <c r="G15"/>
  <c r="L15" s="1"/>
  <c r="G8"/>
  <c r="J8" s="1"/>
  <c r="G14"/>
  <c r="J14" s="1"/>
  <c r="G13"/>
  <c r="N13" s="1"/>
  <c r="G12"/>
  <c r="L12" s="1"/>
  <c r="G9"/>
  <c r="J9" s="1"/>
  <c r="T9"/>
  <c r="S9"/>
  <c r="R10"/>
  <c r="Q10"/>
  <c r="T17"/>
  <c r="S17"/>
  <c r="R17"/>
  <c r="Q17"/>
  <c r="P17"/>
  <c r="O17"/>
  <c r="T10"/>
  <c r="S10"/>
  <c r="R9"/>
  <c r="Q9"/>
  <c r="O9"/>
  <c r="P9"/>
  <c r="S11"/>
  <c r="P11"/>
  <c r="O11"/>
  <c r="J46"/>
  <c r="N47"/>
  <c r="T47" s="1"/>
  <c r="O8"/>
  <c r="P8"/>
  <c r="P7"/>
  <c r="O7"/>
  <c r="L11"/>
  <c r="R11" s="1"/>
  <c r="N27"/>
  <c r="N42"/>
  <c r="D77" i="19"/>
  <c r="C77"/>
  <c r="D78"/>
  <c r="C78"/>
  <c r="B78"/>
  <c r="I19" i="13" s="1"/>
  <c r="H81" i="19"/>
  <c r="E82"/>
  <c r="H80"/>
  <c r="H79"/>
  <c r="L42" i="22"/>
  <c r="J47"/>
  <c r="O47" s="1"/>
  <c r="H57"/>
  <c r="L27"/>
  <c r="L44"/>
  <c r="J56"/>
  <c r="N7"/>
  <c r="N17"/>
  <c r="N50"/>
  <c r="L17"/>
  <c r="N37"/>
  <c r="L50"/>
  <c r="L7"/>
  <c r="N36"/>
  <c r="L37"/>
  <c r="N56"/>
  <c r="P47" l="1"/>
  <c r="S47"/>
  <c r="Q47"/>
  <c r="L51"/>
  <c r="J51"/>
  <c r="L40" i="13"/>
  <c r="L50"/>
  <c r="J10"/>
  <c r="J29"/>
  <c r="L29" s="1"/>
  <c r="J40"/>
  <c r="J50"/>
  <c r="K40"/>
  <c r="K50"/>
  <c r="K10"/>
  <c r="K29"/>
  <c r="K9"/>
  <c r="K19"/>
  <c r="I60"/>
  <c r="I19" i="9" s="1"/>
  <c r="J19" i="13"/>
  <c r="J9"/>
  <c r="L48" i="22"/>
  <c r="L54"/>
  <c r="J54"/>
  <c r="N53"/>
  <c r="N48"/>
  <c r="J40"/>
  <c r="J44"/>
  <c r="N19"/>
  <c r="L10"/>
  <c r="N14"/>
  <c r="L21"/>
  <c r="L53"/>
  <c r="O37"/>
  <c r="U37" s="1"/>
  <c r="L41"/>
  <c r="N38"/>
  <c r="L38"/>
  <c r="J43"/>
  <c r="J35"/>
  <c r="N31"/>
  <c r="J30"/>
  <c r="N30"/>
  <c r="L28"/>
  <c r="L36"/>
  <c r="J22"/>
  <c r="L22"/>
  <c r="J21"/>
  <c r="L13"/>
  <c r="J13"/>
  <c r="J32"/>
  <c r="N34"/>
  <c r="J34"/>
  <c r="L32"/>
  <c r="L31"/>
  <c r="N18"/>
  <c r="N23"/>
  <c r="N9"/>
  <c r="J12"/>
  <c r="N12"/>
  <c r="L52"/>
  <c r="J49"/>
  <c r="L49"/>
  <c r="L55"/>
  <c r="J55"/>
  <c r="N52"/>
  <c r="N41"/>
  <c r="N46"/>
  <c r="N45"/>
  <c r="L39"/>
  <c r="L43"/>
  <c r="L40"/>
  <c r="N39"/>
  <c r="J45"/>
  <c r="J33"/>
  <c r="L33"/>
  <c r="J29"/>
  <c r="N28"/>
  <c r="L29"/>
  <c r="L35"/>
  <c r="L25"/>
  <c r="N26"/>
  <c r="N25"/>
  <c r="J23"/>
  <c r="L24"/>
  <c r="N11"/>
  <c r="T11" s="1"/>
  <c r="N16"/>
  <c r="J10"/>
  <c r="O10" s="1"/>
  <c r="L8"/>
  <c r="L16"/>
  <c r="J19"/>
  <c r="L26"/>
  <c r="Q11"/>
  <c r="N20"/>
  <c r="J20"/>
  <c r="L18"/>
  <c r="L14"/>
  <c r="J15"/>
  <c r="N8"/>
  <c r="N15"/>
  <c r="N24"/>
  <c r="L9"/>
  <c r="P10"/>
  <c r="Q8"/>
  <c r="R8"/>
  <c r="S8"/>
  <c r="T8"/>
  <c r="Q7"/>
  <c r="R7"/>
  <c r="T7"/>
  <c r="S7"/>
  <c r="U19"/>
  <c r="U17"/>
  <c r="U41"/>
  <c r="U28"/>
  <c r="U42"/>
  <c r="U9"/>
  <c r="U43"/>
  <c r="U56"/>
  <c r="U48"/>
  <c r="U22"/>
  <c r="U46"/>
  <c r="U33"/>
  <c r="U20"/>
  <c r="U44"/>
  <c r="U31"/>
  <c r="U55"/>
  <c r="U29"/>
  <c r="U53"/>
  <c r="U18"/>
  <c r="U16"/>
  <c r="U40"/>
  <c r="U27"/>
  <c r="U51"/>
  <c r="U14"/>
  <c r="U38"/>
  <c r="U25"/>
  <c r="U49"/>
  <c r="U12"/>
  <c r="U36"/>
  <c r="U23"/>
  <c r="U34"/>
  <c r="U21"/>
  <c r="U45"/>
  <c r="U32"/>
  <c r="U15"/>
  <c r="U39"/>
  <c r="U54"/>
  <c r="U52"/>
  <c r="U26"/>
  <c r="U50"/>
  <c r="U13"/>
  <c r="U30"/>
  <c r="U24"/>
  <c r="U35"/>
  <c r="D81" i="19"/>
  <c r="C81"/>
  <c r="B81"/>
  <c r="D80"/>
  <c r="C80"/>
  <c r="B80"/>
  <c r="C79"/>
  <c r="B79"/>
  <c r="D79"/>
  <c r="S19" i="12"/>
  <c r="S20"/>
  <c r="S21"/>
  <c r="S22"/>
  <c r="S23"/>
  <c r="S25"/>
  <c r="S26"/>
  <c r="S27"/>
  <c r="S28"/>
  <c r="S29"/>
  <c r="S30"/>
  <c r="S31"/>
  <c r="S32"/>
  <c r="S33"/>
  <c r="S35"/>
  <c r="S36"/>
  <c r="S37"/>
  <c r="S38"/>
  <c r="S39"/>
  <c r="S40"/>
  <c r="S41"/>
  <c r="S42"/>
  <c r="S43"/>
  <c r="S45"/>
  <c r="S46"/>
  <c r="S47"/>
  <c r="S48"/>
  <c r="S49"/>
  <c r="S50"/>
  <c r="S51"/>
  <c r="S52"/>
  <c r="S53"/>
  <c r="S55"/>
  <c r="S56"/>
  <c r="S57"/>
  <c r="S58"/>
  <c r="S59"/>
  <c r="S60"/>
  <c r="S61"/>
  <c r="S62"/>
  <c r="S63"/>
  <c r="G21" i="21"/>
  <c r="G22" s="1"/>
  <c r="G31"/>
  <c r="G32" s="1"/>
  <c r="G41"/>
  <c r="G42" s="1"/>
  <c r="G51"/>
  <c r="G11"/>
  <c r="F12"/>
  <c r="F13"/>
  <c r="F14"/>
  <c r="F15"/>
  <c r="F16"/>
  <c r="F17"/>
  <c r="F18"/>
  <c r="F19"/>
  <c r="F20"/>
  <c r="F21"/>
  <c r="F22"/>
  <c r="F23"/>
  <c r="F24"/>
  <c r="F25"/>
  <c r="F26"/>
  <c r="F27"/>
  <c r="F28"/>
  <c r="F29"/>
  <c r="F30"/>
  <c r="F31"/>
  <c r="F32"/>
  <c r="F33"/>
  <c r="F34"/>
  <c r="F35"/>
  <c r="F36"/>
  <c r="F37"/>
  <c r="F38"/>
  <c r="F39"/>
  <c r="F40"/>
  <c r="F41"/>
  <c r="F42"/>
  <c r="F43"/>
  <c r="F44"/>
  <c r="F45"/>
  <c r="F46"/>
  <c r="F47"/>
  <c r="F48"/>
  <c r="F49"/>
  <c r="F50"/>
  <c r="F51"/>
  <c r="F52"/>
  <c r="F53"/>
  <c r="F54"/>
  <c r="F55"/>
  <c r="F56"/>
  <c r="F57"/>
  <c r="F58"/>
  <c r="F59"/>
  <c r="F60"/>
  <c r="F11"/>
  <c r="H14" i="12"/>
  <c r="H24"/>
  <c r="H34"/>
  <c r="Q34" s="1"/>
  <c r="H44"/>
  <c r="H54"/>
  <c r="K7" i="17"/>
  <c r="G14" i="12"/>
  <c r="J14" s="1"/>
  <c r="G15"/>
  <c r="J15" s="1"/>
  <c r="F63"/>
  <c r="G63" s="1"/>
  <c r="J63" s="1"/>
  <c r="R63" s="1"/>
  <c r="V63" s="1"/>
  <c r="F62"/>
  <c r="G62" s="1"/>
  <c r="J62" s="1"/>
  <c r="R62" s="1"/>
  <c r="V62" s="1"/>
  <c r="F61"/>
  <c r="G61" s="1"/>
  <c r="J61" s="1"/>
  <c r="R61" s="1"/>
  <c r="V61" s="1"/>
  <c r="F60"/>
  <c r="G60" s="1"/>
  <c r="J60" s="1"/>
  <c r="R60" s="1"/>
  <c r="V60" s="1"/>
  <c r="F59"/>
  <c r="G59" s="1"/>
  <c r="J59" s="1"/>
  <c r="F58"/>
  <c r="G58" s="1"/>
  <c r="J58" s="1"/>
  <c r="R58" s="1"/>
  <c r="V58" s="1"/>
  <c r="F57"/>
  <c r="F56"/>
  <c r="G56" s="1"/>
  <c r="J56" s="1"/>
  <c r="R56" s="1"/>
  <c r="V56" s="1"/>
  <c r="F55"/>
  <c r="G55" s="1"/>
  <c r="J55" s="1"/>
  <c r="F54"/>
  <c r="F53"/>
  <c r="G53" s="1"/>
  <c r="J53" s="1"/>
  <c r="F52"/>
  <c r="G52" s="1"/>
  <c r="J52" s="1"/>
  <c r="F51"/>
  <c r="G51" s="1"/>
  <c r="J51" s="1"/>
  <c r="R51" s="1"/>
  <c r="V51" s="1"/>
  <c r="F50"/>
  <c r="G50" s="1"/>
  <c r="J50" s="1"/>
  <c r="R50" s="1"/>
  <c r="V50" s="1"/>
  <c r="F49"/>
  <c r="G49" s="1"/>
  <c r="J49" s="1"/>
  <c r="R49" s="1"/>
  <c r="V49" s="1"/>
  <c r="F48"/>
  <c r="G48" s="1"/>
  <c r="J48" s="1"/>
  <c r="R48" s="1"/>
  <c r="V48" s="1"/>
  <c r="F47"/>
  <c r="G47" s="1"/>
  <c r="J47" s="1"/>
  <c r="F46"/>
  <c r="G46" s="1"/>
  <c r="J46" s="1"/>
  <c r="R46" s="1"/>
  <c r="V46" s="1"/>
  <c r="F45"/>
  <c r="F44"/>
  <c r="G44" s="1"/>
  <c r="J44" s="1"/>
  <c r="F43"/>
  <c r="G43" s="1"/>
  <c r="J43" s="1"/>
  <c r="R43" s="1"/>
  <c r="V43" s="1"/>
  <c r="F42"/>
  <c r="G42" s="1"/>
  <c r="J42" s="1"/>
  <c r="F41"/>
  <c r="G41" s="1"/>
  <c r="J41" s="1"/>
  <c r="F40"/>
  <c r="G40" s="1"/>
  <c r="J40" s="1"/>
  <c r="F39"/>
  <c r="G39" s="1"/>
  <c r="J39" s="1"/>
  <c r="R39" s="1"/>
  <c r="V39" s="1"/>
  <c r="F38"/>
  <c r="G38" s="1"/>
  <c r="J38" s="1"/>
  <c r="R38" s="1"/>
  <c r="V38" s="1"/>
  <c r="F37"/>
  <c r="G37" s="1"/>
  <c r="J37" s="1"/>
  <c r="R37" s="1"/>
  <c r="V37" s="1"/>
  <c r="F36"/>
  <c r="G36" s="1"/>
  <c r="J36" s="1"/>
  <c r="R36" s="1"/>
  <c r="V36" s="1"/>
  <c r="F35"/>
  <c r="G35" s="1"/>
  <c r="J35" s="1"/>
  <c r="F34"/>
  <c r="F33"/>
  <c r="F32"/>
  <c r="G32" s="1"/>
  <c r="J32" s="1"/>
  <c r="F31"/>
  <c r="G31" s="1"/>
  <c r="J31" s="1"/>
  <c r="R31" s="1"/>
  <c r="V31" s="1"/>
  <c r="F30"/>
  <c r="G30" s="1"/>
  <c r="J30" s="1"/>
  <c r="F29"/>
  <c r="G29" s="1"/>
  <c r="J29" s="1"/>
  <c r="F28"/>
  <c r="G28" s="1"/>
  <c r="J28" s="1"/>
  <c r="F27"/>
  <c r="G27" s="1"/>
  <c r="J27" s="1"/>
  <c r="R27" s="1"/>
  <c r="V27" s="1"/>
  <c r="F26"/>
  <c r="G26" s="1"/>
  <c r="J26" s="1"/>
  <c r="R26" s="1"/>
  <c r="V26" s="1"/>
  <c r="F25"/>
  <c r="G25" s="1"/>
  <c r="J25" s="1"/>
  <c r="R25" s="1"/>
  <c r="V25" s="1"/>
  <c r="F24"/>
  <c r="G23"/>
  <c r="J23" s="1"/>
  <c r="G20"/>
  <c r="J20" s="1"/>
  <c r="G19"/>
  <c r="J19" s="1"/>
  <c r="G18"/>
  <c r="J18" s="1"/>
  <c r="G17"/>
  <c r="J17" s="1"/>
  <c r="G16"/>
  <c r="J16" s="1"/>
  <c r="K12" i="17"/>
  <c r="K15"/>
  <c r="K20"/>
  <c r="K25"/>
  <c r="K28"/>
  <c r="K33"/>
  <c r="K37"/>
  <c r="K40"/>
  <c r="K45"/>
  <c r="K49"/>
  <c r="K52"/>
  <c r="K8"/>
  <c r="K9"/>
  <c r="K10"/>
  <c r="K11"/>
  <c r="K13"/>
  <c r="K14"/>
  <c r="K16"/>
  <c r="K17"/>
  <c r="K18"/>
  <c r="K19"/>
  <c r="K21"/>
  <c r="K22"/>
  <c r="K23"/>
  <c r="K24"/>
  <c r="K26"/>
  <c r="K27"/>
  <c r="K29"/>
  <c r="K30"/>
  <c r="K31"/>
  <c r="K32"/>
  <c r="K34"/>
  <c r="K35"/>
  <c r="K36"/>
  <c r="K38"/>
  <c r="K39"/>
  <c r="K41"/>
  <c r="K42"/>
  <c r="K43"/>
  <c r="K44"/>
  <c r="K46"/>
  <c r="K47"/>
  <c r="K48"/>
  <c r="K50"/>
  <c r="K51"/>
  <c r="K53"/>
  <c r="K54"/>
  <c r="K55"/>
  <c r="K56"/>
  <c r="L10" i="13" l="1"/>
  <c r="U7" i="22"/>
  <c r="U11"/>
  <c r="U47"/>
  <c r="R14" i="12"/>
  <c r="G34"/>
  <c r="J34" s="1"/>
  <c r="R34" s="1"/>
  <c r="T34"/>
  <c r="U34"/>
  <c r="G54"/>
  <c r="J54" s="1"/>
  <c r="R54" s="1"/>
  <c r="T54"/>
  <c r="L19" i="13"/>
  <c r="J60"/>
  <c r="K19" i="9" s="1"/>
  <c r="L9" i="13"/>
  <c r="L60" s="1"/>
  <c r="K60"/>
  <c r="N19" i="9" s="1"/>
  <c r="O57" i="22"/>
  <c r="P11" i="21"/>
  <c r="G12"/>
  <c r="N12" s="1"/>
  <c r="Q12" s="1"/>
  <c r="U10" i="22"/>
  <c r="S24" i="12"/>
  <c r="S14"/>
  <c r="P51" i="21"/>
  <c r="G60"/>
  <c r="N60" s="1"/>
  <c r="G59"/>
  <c r="N59" s="1"/>
  <c r="G58"/>
  <c r="N58" s="1"/>
  <c r="G57"/>
  <c r="N57" s="1"/>
  <c r="G56"/>
  <c r="N56" s="1"/>
  <c r="G55"/>
  <c r="N55" s="1"/>
  <c r="G54"/>
  <c r="N54" s="1"/>
  <c r="G53"/>
  <c r="N53" s="1"/>
  <c r="G52"/>
  <c r="N52" s="1"/>
  <c r="Q54" i="12"/>
  <c r="U54" s="1"/>
  <c r="H55"/>
  <c r="Q55" s="1"/>
  <c r="H63"/>
  <c r="Q63" s="1"/>
  <c r="H62"/>
  <c r="Q62" s="1"/>
  <c r="H61"/>
  <c r="Q61" s="1"/>
  <c r="H60"/>
  <c r="Q60" s="1"/>
  <c r="H59"/>
  <c r="Q59" s="1"/>
  <c r="H58"/>
  <c r="Q58" s="1"/>
  <c r="H57"/>
  <c r="H56"/>
  <c r="Q56" s="1"/>
  <c r="N41" i="21"/>
  <c r="Q41" s="1"/>
  <c r="G45"/>
  <c r="N45" s="1"/>
  <c r="G44"/>
  <c r="N44" s="1"/>
  <c r="G43"/>
  <c r="N43" s="1"/>
  <c r="N42"/>
  <c r="G50"/>
  <c r="N50" s="1"/>
  <c r="G49"/>
  <c r="N49" s="1"/>
  <c r="G48"/>
  <c r="N48" s="1"/>
  <c r="G47"/>
  <c r="N47" s="1"/>
  <c r="G46"/>
  <c r="N46" s="1"/>
  <c r="Q44" i="12"/>
  <c r="U44" s="1"/>
  <c r="H52"/>
  <c r="Q52" s="1"/>
  <c r="H51"/>
  <c r="Q51" s="1"/>
  <c r="H46"/>
  <c r="Q46" s="1"/>
  <c r="H50"/>
  <c r="H49"/>
  <c r="Q49" s="1"/>
  <c r="H48"/>
  <c r="Q48" s="1"/>
  <c r="H47"/>
  <c r="Q47" s="1"/>
  <c r="H45"/>
  <c r="Q45" s="1"/>
  <c r="H53"/>
  <c r="Q53" s="1"/>
  <c r="N31" i="21"/>
  <c r="Q31" s="1"/>
  <c r="G38"/>
  <c r="N38" s="1"/>
  <c r="G37"/>
  <c r="N37" s="1"/>
  <c r="G35"/>
  <c r="N35" s="1"/>
  <c r="G34"/>
  <c r="N34" s="1"/>
  <c r="G33"/>
  <c r="N33" s="1"/>
  <c r="N32"/>
  <c r="G40"/>
  <c r="N40" s="1"/>
  <c r="G39"/>
  <c r="N39" s="1"/>
  <c r="G36"/>
  <c r="N36" s="1"/>
  <c r="H41" i="12"/>
  <c r="Q41" s="1"/>
  <c r="H40"/>
  <c r="Q40" s="1"/>
  <c r="H39"/>
  <c r="Q39" s="1"/>
  <c r="H37"/>
  <c r="Q37" s="1"/>
  <c r="H36"/>
  <c r="Q36" s="1"/>
  <c r="H43"/>
  <c r="Q43" s="1"/>
  <c r="H38"/>
  <c r="K38" s="1"/>
  <c r="H35"/>
  <c r="Q35" s="1"/>
  <c r="H42"/>
  <c r="Q42" s="1"/>
  <c r="H20"/>
  <c r="K20" s="1"/>
  <c r="H19"/>
  <c r="K19" s="1"/>
  <c r="H17"/>
  <c r="H15"/>
  <c r="T14"/>
  <c r="H23"/>
  <c r="K23" s="1"/>
  <c r="H22"/>
  <c r="K22" s="1"/>
  <c r="H21"/>
  <c r="K21" s="1"/>
  <c r="H18"/>
  <c r="H16"/>
  <c r="N21" i="21"/>
  <c r="Q21" s="1"/>
  <c r="N22"/>
  <c r="G30"/>
  <c r="N30" s="1"/>
  <c r="G28"/>
  <c r="N28" s="1"/>
  <c r="G27"/>
  <c r="G26"/>
  <c r="G24"/>
  <c r="N24" s="1"/>
  <c r="G23"/>
  <c r="N23" s="1"/>
  <c r="G25"/>
  <c r="N25" s="1"/>
  <c r="G29"/>
  <c r="N29" s="1"/>
  <c r="G19"/>
  <c r="N19" s="1"/>
  <c r="G17"/>
  <c r="N17" s="1"/>
  <c r="G16"/>
  <c r="N16" s="1"/>
  <c r="G18"/>
  <c r="N18" s="1"/>
  <c r="G15"/>
  <c r="G14"/>
  <c r="G13"/>
  <c r="N13" s="1"/>
  <c r="G20"/>
  <c r="N20" s="1"/>
  <c r="G24" i="12"/>
  <c r="J24" s="1"/>
  <c r="R24" s="1"/>
  <c r="T24"/>
  <c r="P57" i="22"/>
  <c r="K24" i="12"/>
  <c r="H31"/>
  <c r="Q31" s="1"/>
  <c r="H30"/>
  <c r="Q30" s="1"/>
  <c r="H29"/>
  <c r="Q29" s="1"/>
  <c r="H27"/>
  <c r="Q27" s="1"/>
  <c r="H28"/>
  <c r="Q28" s="1"/>
  <c r="H25"/>
  <c r="H33"/>
  <c r="Q33" s="1"/>
  <c r="H32"/>
  <c r="Q32" s="1"/>
  <c r="H26"/>
  <c r="Q26" s="1"/>
  <c r="K57" i="17"/>
  <c r="I17" i="9" s="1"/>
  <c r="O61" i="21"/>
  <c r="N51"/>
  <c r="Q51" s="1"/>
  <c r="P31"/>
  <c r="P21"/>
  <c r="P41"/>
  <c r="Q57" i="22"/>
  <c r="R57"/>
  <c r="S57"/>
  <c r="T57"/>
  <c r="U8"/>
  <c r="N11" i="21"/>
  <c r="Q11" s="1"/>
  <c r="R52" i="12"/>
  <c r="V52" s="1"/>
  <c r="R40"/>
  <c r="V40" s="1"/>
  <c r="R28"/>
  <c r="V28" s="1"/>
  <c r="R16"/>
  <c r="V16" s="1"/>
  <c r="R53"/>
  <c r="V53" s="1"/>
  <c r="R41"/>
  <c r="V41" s="1"/>
  <c r="R29"/>
  <c r="V29" s="1"/>
  <c r="R17"/>
  <c r="V17" s="1"/>
  <c r="R42"/>
  <c r="V42" s="1"/>
  <c r="R30"/>
  <c r="V30" s="1"/>
  <c r="R18"/>
  <c r="V18" s="1"/>
  <c r="R55"/>
  <c r="V55" s="1"/>
  <c r="R19"/>
  <c r="V19" s="1"/>
  <c r="R44"/>
  <c r="R32"/>
  <c r="V32" s="1"/>
  <c r="R20"/>
  <c r="V20" s="1"/>
  <c r="R59"/>
  <c r="V59" s="1"/>
  <c r="R47"/>
  <c r="V47" s="1"/>
  <c r="R35"/>
  <c r="V35" s="1"/>
  <c r="R23"/>
  <c r="V23" s="1"/>
  <c r="H61" i="21"/>
  <c r="G57" i="12"/>
  <c r="J57" s="1"/>
  <c r="G45"/>
  <c r="J45" s="1"/>
  <c r="G33"/>
  <c r="J33" s="1"/>
  <c r="G21"/>
  <c r="J21" s="1"/>
  <c r="G22"/>
  <c r="J22" s="1"/>
  <c r="M62"/>
  <c r="T16"/>
  <c r="K41"/>
  <c r="K17"/>
  <c r="T17"/>
  <c r="K54"/>
  <c r="K42"/>
  <c r="S54"/>
  <c r="S18"/>
  <c r="T18"/>
  <c r="K44"/>
  <c r="S44"/>
  <c r="T44"/>
  <c r="K57"/>
  <c r="K34"/>
  <c r="S34"/>
  <c r="K47"/>
  <c r="Q24"/>
  <c r="U24" s="1"/>
  <c r="K14"/>
  <c r="Q14"/>
  <c r="U14" s="1"/>
  <c r="K36" l="1"/>
  <c r="V34"/>
  <c r="O19" i="9"/>
  <c r="H46" s="1"/>
  <c r="K60" i="12"/>
  <c r="M60"/>
  <c r="O62"/>
  <c r="M61"/>
  <c r="L60" i="21"/>
  <c r="K62" i="12"/>
  <c r="K56"/>
  <c r="K52"/>
  <c r="R11" i="21"/>
  <c r="V54" i="12"/>
  <c r="O61"/>
  <c r="Q57"/>
  <c r="K55"/>
  <c r="R51" i="21"/>
  <c r="K63" i="12"/>
  <c r="O63"/>
  <c r="M63"/>
  <c r="K61"/>
  <c r="Q50"/>
  <c r="K49"/>
  <c r="K51"/>
  <c r="K45"/>
  <c r="R41" i="21"/>
  <c r="K48" i="12"/>
  <c r="V44"/>
  <c r="K35"/>
  <c r="Q61" i="21"/>
  <c r="K37" i="12"/>
  <c r="R31" i="21"/>
  <c r="K27" i="12"/>
  <c r="Q25"/>
  <c r="R21" i="21"/>
  <c r="Q16" i="12"/>
  <c r="U16" s="1"/>
  <c r="O16"/>
  <c r="Q20"/>
  <c r="O20"/>
  <c r="Q19"/>
  <c r="O19"/>
  <c r="Q17"/>
  <c r="O17"/>
  <c r="S15"/>
  <c r="T15"/>
  <c r="Q23"/>
  <c r="O23"/>
  <c r="Q21"/>
  <c r="O21"/>
  <c r="K16"/>
  <c r="Q22"/>
  <c r="O22"/>
  <c r="Q18"/>
  <c r="U18" s="1"/>
  <c r="O18"/>
  <c r="V24"/>
  <c r="O60"/>
  <c r="K58"/>
  <c r="K59"/>
  <c r="K53"/>
  <c r="K46"/>
  <c r="K50"/>
  <c r="K43"/>
  <c r="Q38"/>
  <c r="K40"/>
  <c r="K39"/>
  <c r="K28"/>
  <c r="K18"/>
  <c r="N14" i="21"/>
  <c r="S17" i="12"/>
  <c r="K26"/>
  <c r="N26" i="21"/>
  <c r="S16" i="12"/>
  <c r="N27" i="21"/>
  <c r="N15"/>
  <c r="K29" i="12"/>
  <c r="K32"/>
  <c r="K31"/>
  <c r="K30"/>
  <c r="K25"/>
  <c r="K33"/>
  <c r="R12" i="21"/>
  <c r="N20" i="9"/>
  <c r="K20"/>
  <c r="I23"/>
  <c r="O17"/>
  <c r="O23" s="1"/>
  <c r="U57" i="22"/>
  <c r="R57" i="12"/>
  <c r="V57" s="1"/>
  <c r="R45"/>
  <c r="V45" s="1"/>
  <c r="R33"/>
  <c r="V33" s="1"/>
  <c r="R21"/>
  <c r="V21" s="1"/>
  <c r="R22"/>
  <c r="V22" s="1"/>
  <c r="K15"/>
  <c r="R15" s="1"/>
  <c r="Q15"/>
  <c r="Y71" i="19"/>
  <c r="Y127" s="1"/>
  <c r="X71"/>
  <c r="X127" s="1"/>
  <c r="W71"/>
  <c r="W127" s="1"/>
  <c r="V71"/>
  <c r="V127" s="1"/>
  <c r="U71"/>
  <c r="U127" s="1"/>
  <c r="T71"/>
  <c r="T127" s="1"/>
  <c r="S71"/>
  <c r="S127" s="1"/>
  <c r="R71"/>
  <c r="R127" s="1"/>
  <c r="Q71"/>
  <c r="Q127" s="1"/>
  <c r="P71"/>
  <c r="P127" s="1"/>
  <c r="O71"/>
  <c r="O127" s="1"/>
  <c r="N71"/>
  <c r="N127" s="1"/>
  <c r="M71"/>
  <c r="M127" s="1"/>
  <c r="L71"/>
  <c r="L127" s="1"/>
  <c r="K71"/>
  <c r="K127" s="1"/>
  <c r="J71"/>
  <c r="J127" s="1"/>
  <c r="I71"/>
  <c r="I127" s="1"/>
  <c r="H71"/>
  <c r="H127" s="1"/>
  <c r="G71"/>
  <c r="G127" s="1"/>
  <c r="F71"/>
  <c r="F127" s="1"/>
  <c r="E71"/>
  <c r="E127" s="1"/>
  <c r="D71"/>
  <c r="D127" s="1"/>
  <c r="C71"/>
  <c r="C127" s="1"/>
  <c r="B71"/>
  <c r="B127" s="1"/>
  <c r="Y70"/>
  <c r="Y126" s="1"/>
  <c r="X70"/>
  <c r="X126" s="1"/>
  <c r="W70"/>
  <c r="W126" s="1"/>
  <c r="V70"/>
  <c r="V126" s="1"/>
  <c r="U70"/>
  <c r="U126" s="1"/>
  <c r="T70"/>
  <c r="T126" s="1"/>
  <c r="S70"/>
  <c r="S126" s="1"/>
  <c r="R70"/>
  <c r="R126" s="1"/>
  <c r="Q70"/>
  <c r="Q126" s="1"/>
  <c r="P70"/>
  <c r="P126" s="1"/>
  <c r="O70"/>
  <c r="O126" s="1"/>
  <c r="N70"/>
  <c r="N126" s="1"/>
  <c r="M70"/>
  <c r="M126" s="1"/>
  <c r="L70"/>
  <c r="L126" s="1"/>
  <c r="K70"/>
  <c r="K126" s="1"/>
  <c r="J70"/>
  <c r="J126" s="1"/>
  <c r="I70"/>
  <c r="I126" s="1"/>
  <c r="H70"/>
  <c r="H126" s="1"/>
  <c r="G70"/>
  <c r="G126" s="1"/>
  <c r="F70"/>
  <c r="F126" s="1"/>
  <c r="E70"/>
  <c r="E126" s="1"/>
  <c r="D70"/>
  <c r="D126" s="1"/>
  <c r="C70"/>
  <c r="C126" s="1"/>
  <c r="B70"/>
  <c r="B126" s="1"/>
  <c r="Y68"/>
  <c r="Y124" s="1"/>
  <c r="X68"/>
  <c r="X124" s="1"/>
  <c r="W68"/>
  <c r="W124" s="1"/>
  <c r="V68"/>
  <c r="V124" s="1"/>
  <c r="U68"/>
  <c r="U124" s="1"/>
  <c r="T68"/>
  <c r="T124" s="1"/>
  <c r="S68"/>
  <c r="S124" s="1"/>
  <c r="R68"/>
  <c r="R124" s="1"/>
  <c r="Q68"/>
  <c r="Q124" s="1"/>
  <c r="P68"/>
  <c r="P124" s="1"/>
  <c r="O68"/>
  <c r="O124" s="1"/>
  <c r="N68"/>
  <c r="N124" s="1"/>
  <c r="M68"/>
  <c r="M124" s="1"/>
  <c r="L68"/>
  <c r="L124" s="1"/>
  <c r="K68"/>
  <c r="K124" s="1"/>
  <c r="J68"/>
  <c r="J124" s="1"/>
  <c r="F68"/>
  <c r="F124" s="1"/>
  <c r="I68"/>
  <c r="I124" s="1"/>
  <c r="H68"/>
  <c r="H124" s="1"/>
  <c r="G68"/>
  <c r="G124" s="1"/>
  <c r="E68"/>
  <c r="E124" s="1"/>
  <c r="D68"/>
  <c r="D124" s="1"/>
  <c r="C68"/>
  <c r="C124" s="1"/>
  <c r="B68"/>
  <c r="B124" s="1"/>
  <c r="Y54"/>
  <c r="Y110" s="1"/>
  <c r="X54"/>
  <c r="X110" s="1"/>
  <c r="W54"/>
  <c r="W110" s="1"/>
  <c r="V54"/>
  <c r="V110" s="1"/>
  <c r="U54"/>
  <c r="U110" s="1"/>
  <c r="T54"/>
  <c r="T110" s="1"/>
  <c r="S54"/>
  <c r="S110" s="1"/>
  <c r="R54"/>
  <c r="R110" s="1"/>
  <c r="Q54"/>
  <c r="Q110" s="1"/>
  <c r="P54"/>
  <c r="P110" s="1"/>
  <c r="O54"/>
  <c r="O110" s="1"/>
  <c r="N54"/>
  <c r="N110" s="1"/>
  <c r="M54"/>
  <c r="M110" s="1"/>
  <c r="L54"/>
  <c r="L110" s="1"/>
  <c r="K54"/>
  <c r="K110" s="1"/>
  <c r="J54"/>
  <c r="J110" s="1"/>
  <c r="I54"/>
  <c r="I110" s="1"/>
  <c r="H54"/>
  <c r="H110" s="1"/>
  <c r="G54"/>
  <c r="G110" s="1"/>
  <c r="F54"/>
  <c r="F110" s="1"/>
  <c r="E54"/>
  <c r="E110" s="1"/>
  <c r="D54"/>
  <c r="D110" s="1"/>
  <c r="C54"/>
  <c r="C110" s="1"/>
  <c r="B54"/>
  <c r="B110" s="1"/>
  <c r="K24" i="9" l="1"/>
  <c r="K25" s="1"/>
  <c r="O20"/>
  <c r="I46" s="1"/>
  <c r="N24"/>
  <c r="N25" s="1"/>
  <c r="F45"/>
  <c r="Y69" i="19"/>
  <c r="Y125" s="1"/>
  <c r="X69"/>
  <c r="X125" s="1"/>
  <c r="W69"/>
  <c r="W125" s="1"/>
  <c r="V69"/>
  <c r="V125" s="1"/>
  <c r="U69"/>
  <c r="U125" s="1"/>
  <c r="T69"/>
  <c r="T125" s="1"/>
  <c r="S69"/>
  <c r="S125" s="1"/>
  <c r="R69"/>
  <c r="R125" s="1"/>
  <c r="Q69"/>
  <c r="Q125" s="1"/>
  <c r="P69"/>
  <c r="P125" s="1"/>
  <c r="O69"/>
  <c r="O125" s="1"/>
  <c r="N69"/>
  <c r="N125" s="1"/>
  <c r="M69"/>
  <c r="M125" s="1"/>
  <c r="L69"/>
  <c r="L125" s="1"/>
  <c r="K69"/>
  <c r="K125" s="1"/>
  <c r="J69"/>
  <c r="J125" s="1"/>
  <c r="I69"/>
  <c r="I125" s="1"/>
  <c r="H69"/>
  <c r="H125" s="1"/>
  <c r="G69"/>
  <c r="G125" s="1"/>
  <c r="F69"/>
  <c r="F125" s="1"/>
  <c r="E69"/>
  <c r="E125" s="1"/>
  <c r="D69"/>
  <c r="D125" s="1"/>
  <c r="C69"/>
  <c r="C125" s="1"/>
  <c r="B69"/>
  <c r="B125" s="1"/>
  <c r="Y67"/>
  <c r="Y123" s="1"/>
  <c r="X67"/>
  <c r="X123" s="1"/>
  <c r="W67"/>
  <c r="W123" s="1"/>
  <c r="V67"/>
  <c r="V123" s="1"/>
  <c r="U67"/>
  <c r="U123" s="1"/>
  <c r="T67"/>
  <c r="T123" s="1"/>
  <c r="S67"/>
  <c r="S123" s="1"/>
  <c r="R67"/>
  <c r="R123" s="1"/>
  <c r="Q67"/>
  <c r="Q123" s="1"/>
  <c r="P67"/>
  <c r="P123" s="1"/>
  <c r="O67"/>
  <c r="O123" s="1"/>
  <c r="N67"/>
  <c r="N123" s="1"/>
  <c r="M67"/>
  <c r="M123" s="1"/>
  <c r="L67"/>
  <c r="L123" s="1"/>
  <c r="K67"/>
  <c r="K123" s="1"/>
  <c r="J67"/>
  <c r="J123" s="1"/>
  <c r="I67"/>
  <c r="I123" s="1"/>
  <c r="H67"/>
  <c r="H123" s="1"/>
  <c r="G67"/>
  <c r="G123" s="1"/>
  <c r="F67"/>
  <c r="F123" s="1"/>
  <c r="E67"/>
  <c r="E123" s="1"/>
  <c r="D67"/>
  <c r="D123" s="1"/>
  <c r="C67"/>
  <c r="C123" s="1"/>
  <c r="B67"/>
  <c r="B123" s="1"/>
  <c r="Y66"/>
  <c r="Y122" s="1"/>
  <c r="X66"/>
  <c r="X122" s="1"/>
  <c r="W66"/>
  <c r="W122" s="1"/>
  <c r="V66"/>
  <c r="V122" s="1"/>
  <c r="U66"/>
  <c r="U122" s="1"/>
  <c r="T66"/>
  <c r="T122" s="1"/>
  <c r="S66"/>
  <c r="S122" s="1"/>
  <c r="R66"/>
  <c r="R122" s="1"/>
  <c r="Q66"/>
  <c r="Q122" s="1"/>
  <c r="P66"/>
  <c r="P122" s="1"/>
  <c r="O66"/>
  <c r="O122" s="1"/>
  <c r="N66"/>
  <c r="N122" s="1"/>
  <c r="M66"/>
  <c r="M122" s="1"/>
  <c r="L66"/>
  <c r="L122" s="1"/>
  <c r="K66"/>
  <c r="K122" s="1"/>
  <c r="J66"/>
  <c r="J122" s="1"/>
  <c r="I66"/>
  <c r="I122" s="1"/>
  <c r="H66"/>
  <c r="H122" s="1"/>
  <c r="G66"/>
  <c r="G122" s="1"/>
  <c r="F66"/>
  <c r="F122" s="1"/>
  <c r="E66"/>
  <c r="E122" s="1"/>
  <c r="D66"/>
  <c r="D122" s="1"/>
  <c r="C66"/>
  <c r="C122" s="1"/>
  <c r="B66"/>
  <c r="B122" s="1"/>
  <c r="Y65"/>
  <c r="Y121" s="1"/>
  <c r="X65"/>
  <c r="X121" s="1"/>
  <c r="W65"/>
  <c r="W121" s="1"/>
  <c r="V65"/>
  <c r="V121" s="1"/>
  <c r="U65"/>
  <c r="U121" s="1"/>
  <c r="T65"/>
  <c r="T121" s="1"/>
  <c r="S65"/>
  <c r="S121" s="1"/>
  <c r="R65"/>
  <c r="R121" s="1"/>
  <c r="Q65"/>
  <c r="Q121" s="1"/>
  <c r="P65"/>
  <c r="P121" s="1"/>
  <c r="O65"/>
  <c r="O121" s="1"/>
  <c r="N65"/>
  <c r="N121" s="1"/>
  <c r="M65"/>
  <c r="M121" s="1"/>
  <c r="L65"/>
  <c r="L121" s="1"/>
  <c r="K65"/>
  <c r="K121" s="1"/>
  <c r="J65"/>
  <c r="J121" s="1"/>
  <c r="I65"/>
  <c r="I121" s="1"/>
  <c r="H65"/>
  <c r="H121" s="1"/>
  <c r="G65"/>
  <c r="G121" s="1"/>
  <c r="F65"/>
  <c r="F121" s="1"/>
  <c r="E65"/>
  <c r="E121" s="1"/>
  <c r="D65"/>
  <c r="D121" s="1"/>
  <c r="C65"/>
  <c r="C121" s="1"/>
  <c r="B65"/>
  <c r="B121" s="1"/>
  <c r="Y63"/>
  <c r="Y119" s="1"/>
  <c r="X63"/>
  <c r="X119" s="1"/>
  <c r="W63"/>
  <c r="W119" s="1"/>
  <c r="V63"/>
  <c r="V119" s="1"/>
  <c r="U63"/>
  <c r="U119" s="1"/>
  <c r="T63"/>
  <c r="T119" s="1"/>
  <c r="S63"/>
  <c r="S119" s="1"/>
  <c r="R63"/>
  <c r="R119" s="1"/>
  <c r="Q63"/>
  <c r="Q119" s="1"/>
  <c r="P63"/>
  <c r="P119" s="1"/>
  <c r="O63"/>
  <c r="O119" s="1"/>
  <c r="N63"/>
  <c r="N119" s="1"/>
  <c r="M63"/>
  <c r="M119" s="1"/>
  <c r="L63"/>
  <c r="L119" s="1"/>
  <c r="K63"/>
  <c r="K119" s="1"/>
  <c r="J63"/>
  <c r="J119" s="1"/>
  <c r="I63"/>
  <c r="I119" s="1"/>
  <c r="H63"/>
  <c r="H119" s="1"/>
  <c r="G63"/>
  <c r="G119" s="1"/>
  <c r="F63"/>
  <c r="F119" s="1"/>
  <c r="E63"/>
  <c r="E119" s="1"/>
  <c r="D63"/>
  <c r="D119" s="1"/>
  <c r="C63"/>
  <c r="C119" s="1"/>
  <c r="B63"/>
  <c r="B119" s="1"/>
  <c r="Y59"/>
  <c r="Y115" s="1"/>
  <c r="X59"/>
  <c r="X115" s="1"/>
  <c r="W59"/>
  <c r="W115" s="1"/>
  <c r="V59"/>
  <c r="V115" s="1"/>
  <c r="U59"/>
  <c r="U115" s="1"/>
  <c r="T59"/>
  <c r="T115" s="1"/>
  <c r="S59"/>
  <c r="S115" s="1"/>
  <c r="R59"/>
  <c r="R115" s="1"/>
  <c r="Q59"/>
  <c r="Q115" s="1"/>
  <c r="P59"/>
  <c r="P115" s="1"/>
  <c r="O59"/>
  <c r="O115" s="1"/>
  <c r="N59"/>
  <c r="N115" s="1"/>
  <c r="M59"/>
  <c r="M115" s="1"/>
  <c r="L59"/>
  <c r="L115" s="1"/>
  <c r="K59"/>
  <c r="K115" s="1"/>
  <c r="J59"/>
  <c r="J115" s="1"/>
  <c r="I59"/>
  <c r="I115" s="1"/>
  <c r="H59"/>
  <c r="H115" s="1"/>
  <c r="G59"/>
  <c r="G115" s="1"/>
  <c r="F59"/>
  <c r="F115" s="1"/>
  <c r="E59"/>
  <c r="E115" s="1"/>
  <c r="D59"/>
  <c r="D115" s="1"/>
  <c r="C59"/>
  <c r="C115" s="1"/>
  <c r="B59"/>
  <c r="B115" s="1"/>
  <c r="Y57"/>
  <c r="Y113" s="1"/>
  <c r="X57"/>
  <c r="X113" s="1"/>
  <c r="W57"/>
  <c r="W113" s="1"/>
  <c r="V57"/>
  <c r="V113" s="1"/>
  <c r="U57"/>
  <c r="U113" s="1"/>
  <c r="T57"/>
  <c r="T113" s="1"/>
  <c r="S57"/>
  <c r="S113" s="1"/>
  <c r="R57"/>
  <c r="R113" s="1"/>
  <c r="Q57"/>
  <c r="Q113" s="1"/>
  <c r="P57"/>
  <c r="P113" s="1"/>
  <c r="O57"/>
  <c r="O113" s="1"/>
  <c r="N57"/>
  <c r="N113" s="1"/>
  <c r="M57"/>
  <c r="M113" s="1"/>
  <c r="L57"/>
  <c r="L113" s="1"/>
  <c r="K57"/>
  <c r="K113" s="1"/>
  <c r="J57"/>
  <c r="J113" s="1"/>
  <c r="I57"/>
  <c r="I113" s="1"/>
  <c r="H57"/>
  <c r="H113" s="1"/>
  <c r="G57"/>
  <c r="G113" s="1"/>
  <c r="F57"/>
  <c r="F113" s="1"/>
  <c r="E57"/>
  <c r="E113" s="1"/>
  <c r="D57"/>
  <c r="D113" s="1"/>
  <c r="C57"/>
  <c r="C113" s="1"/>
  <c r="B57"/>
  <c r="B113" s="1"/>
  <c r="Y56"/>
  <c r="Y112" s="1"/>
  <c r="X56"/>
  <c r="X112" s="1"/>
  <c r="W56"/>
  <c r="W112" s="1"/>
  <c r="V56"/>
  <c r="V112" s="1"/>
  <c r="U56"/>
  <c r="U112" s="1"/>
  <c r="T56"/>
  <c r="T112" s="1"/>
  <c r="S56"/>
  <c r="S112" s="1"/>
  <c r="R56"/>
  <c r="R112" s="1"/>
  <c r="Q56"/>
  <c r="Q112" s="1"/>
  <c r="P56"/>
  <c r="P112" s="1"/>
  <c r="O56"/>
  <c r="O112" s="1"/>
  <c r="N56"/>
  <c r="N112" s="1"/>
  <c r="M56"/>
  <c r="M112" s="1"/>
  <c r="L56"/>
  <c r="L112" s="1"/>
  <c r="K56"/>
  <c r="K112" s="1"/>
  <c r="J56"/>
  <c r="J112" s="1"/>
  <c r="I56"/>
  <c r="I112" s="1"/>
  <c r="H56"/>
  <c r="H112" s="1"/>
  <c r="G56"/>
  <c r="G112" s="1"/>
  <c r="F56"/>
  <c r="F112" s="1"/>
  <c r="E56"/>
  <c r="E112" s="1"/>
  <c r="D56"/>
  <c r="D112" s="1"/>
  <c r="C56"/>
  <c r="C112" s="1"/>
  <c r="B56"/>
  <c r="B112" s="1"/>
  <c r="Y55"/>
  <c r="Y111" s="1"/>
  <c r="X55"/>
  <c r="X111" s="1"/>
  <c r="W55"/>
  <c r="W111" s="1"/>
  <c r="V55"/>
  <c r="V111" s="1"/>
  <c r="U55"/>
  <c r="U111" s="1"/>
  <c r="T55"/>
  <c r="T111" s="1"/>
  <c r="S55"/>
  <c r="S111" s="1"/>
  <c r="R55"/>
  <c r="R111" s="1"/>
  <c r="Q55"/>
  <c r="Q111" s="1"/>
  <c r="P55"/>
  <c r="P111" s="1"/>
  <c r="O55"/>
  <c r="O111" s="1"/>
  <c r="N55"/>
  <c r="N111" s="1"/>
  <c r="M55"/>
  <c r="M111" s="1"/>
  <c r="L55"/>
  <c r="L111" s="1"/>
  <c r="K55"/>
  <c r="K111" s="1"/>
  <c r="J55"/>
  <c r="J111" s="1"/>
  <c r="I55"/>
  <c r="I111" s="1"/>
  <c r="H55"/>
  <c r="H111" s="1"/>
  <c r="G55"/>
  <c r="G111" s="1"/>
  <c r="F55"/>
  <c r="F111" s="1"/>
  <c r="E55"/>
  <c r="E111" s="1"/>
  <c r="D55"/>
  <c r="D111" s="1"/>
  <c r="C55"/>
  <c r="C111" s="1"/>
  <c r="B55"/>
  <c r="B111" s="1"/>
  <c r="Y53"/>
  <c r="Y109" s="1"/>
  <c r="X53"/>
  <c r="X109" s="1"/>
  <c r="W53"/>
  <c r="W109" s="1"/>
  <c r="V53"/>
  <c r="V109" s="1"/>
  <c r="U53"/>
  <c r="U109" s="1"/>
  <c r="T53"/>
  <c r="T109" s="1"/>
  <c r="S53"/>
  <c r="S109" s="1"/>
  <c r="R53"/>
  <c r="R109" s="1"/>
  <c r="Q53"/>
  <c r="Q109" s="1"/>
  <c r="P53"/>
  <c r="P109" s="1"/>
  <c r="O53"/>
  <c r="O109" s="1"/>
  <c r="N53"/>
  <c r="N109" s="1"/>
  <c r="M53"/>
  <c r="M109" s="1"/>
  <c r="L53"/>
  <c r="L109" s="1"/>
  <c r="K53"/>
  <c r="K109" s="1"/>
  <c r="J53"/>
  <c r="J109" s="1"/>
  <c r="I53"/>
  <c r="I109" s="1"/>
  <c r="H53"/>
  <c r="H109" s="1"/>
  <c r="G53"/>
  <c r="G109" s="1"/>
  <c r="F53"/>
  <c r="F109" s="1"/>
  <c r="E53"/>
  <c r="E109" s="1"/>
  <c r="D53"/>
  <c r="D109" s="1"/>
  <c r="C53"/>
  <c r="C109" s="1"/>
  <c r="B53"/>
  <c r="B109" s="1"/>
  <c r="Y50"/>
  <c r="Y106" s="1"/>
  <c r="X50"/>
  <c r="X106" s="1"/>
  <c r="W50"/>
  <c r="W106" s="1"/>
  <c r="V50"/>
  <c r="V106" s="1"/>
  <c r="U50"/>
  <c r="U106" s="1"/>
  <c r="T50"/>
  <c r="T106" s="1"/>
  <c r="S50"/>
  <c r="S106" s="1"/>
  <c r="R50"/>
  <c r="R106" s="1"/>
  <c r="Q50"/>
  <c r="Q106" s="1"/>
  <c r="P50"/>
  <c r="P106" s="1"/>
  <c r="O50"/>
  <c r="O106" s="1"/>
  <c r="N50"/>
  <c r="N106" s="1"/>
  <c r="M50"/>
  <c r="M106" s="1"/>
  <c r="L50"/>
  <c r="L106" s="1"/>
  <c r="K50"/>
  <c r="K106" s="1"/>
  <c r="J50"/>
  <c r="J106" s="1"/>
  <c r="I50"/>
  <c r="I106" s="1"/>
  <c r="H50"/>
  <c r="H106" s="1"/>
  <c r="G50"/>
  <c r="G106" s="1"/>
  <c r="F50"/>
  <c r="F106" s="1"/>
  <c r="E50"/>
  <c r="E106" s="1"/>
  <c r="D50"/>
  <c r="D106" s="1"/>
  <c r="C50"/>
  <c r="C106" s="1"/>
  <c r="B50"/>
  <c r="B106" s="1"/>
  <c r="Y49"/>
  <c r="Y105" s="1"/>
  <c r="X49"/>
  <c r="X105" s="1"/>
  <c r="W49"/>
  <c r="W105" s="1"/>
  <c r="V49"/>
  <c r="V105" s="1"/>
  <c r="U49"/>
  <c r="U105" s="1"/>
  <c r="T49"/>
  <c r="T105" s="1"/>
  <c r="S49"/>
  <c r="S105" s="1"/>
  <c r="R49"/>
  <c r="R105" s="1"/>
  <c r="Q49"/>
  <c r="Q105" s="1"/>
  <c r="P49"/>
  <c r="P105" s="1"/>
  <c r="O49"/>
  <c r="O105" s="1"/>
  <c r="N49"/>
  <c r="N105" s="1"/>
  <c r="M49"/>
  <c r="M105" s="1"/>
  <c r="L49"/>
  <c r="L105" s="1"/>
  <c r="K49"/>
  <c r="K105" s="1"/>
  <c r="J49"/>
  <c r="J105" s="1"/>
  <c r="I49"/>
  <c r="I105" s="1"/>
  <c r="H49"/>
  <c r="H105" s="1"/>
  <c r="G49"/>
  <c r="G105" s="1"/>
  <c r="F49"/>
  <c r="F105" s="1"/>
  <c r="E49"/>
  <c r="E105" s="1"/>
  <c r="D49"/>
  <c r="D105" s="1"/>
  <c r="C49"/>
  <c r="C105" s="1"/>
  <c r="B49"/>
  <c r="B105" s="1"/>
  <c r="Y48"/>
  <c r="Y104" s="1"/>
  <c r="X48"/>
  <c r="X104" s="1"/>
  <c r="W48"/>
  <c r="W104" s="1"/>
  <c r="V48"/>
  <c r="V104" s="1"/>
  <c r="U48"/>
  <c r="U104" s="1"/>
  <c r="T48"/>
  <c r="T104" s="1"/>
  <c r="S48"/>
  <c r="S104" s="1"/>
  <c r="R48"/>
  <c r="R104" s="1"/>
  <c r="Q48"/>
  <c r="Q104" s="1"/>
  <c r="P48"/>
  <c r="P104" s="1"/>
  <c r="O48"/>
  <c r="O104" s="1"/>
  <c r="N48"/>
  <c r="N104" s="1"/>
  <c r="M48"/>
  <c r="M104" s="1"/>
  <c r="L48"/>
  <c r="L104" s="1"/>
  <c r="K48"/>
  <c r="K104" s="1"/>
  <c r="J48"/>
  <c r="J104" s="1"/>
  <c r="I48"/>
  <c r="I104" s="1"/>
  <c r="H48"/>
  <c r="H104" s="1"/>
  <c r="G48"/>
  <c r="G104" s="1"/>
  <c r="F48"/>
  <c r="F104" s="1"/>
  <c r="E48"/>
  <c r="E104" s="1"/>
  <c r="D48"/>
  <c r="D104" s="1"/>
  <c r="C48"/>
  <c r="C104" s="1"/>
  <c r="B48"/>
  <c r="B104" s="1"/>
  <c r="Y45"/>
  <c r="Y101" s="1"/>
  <c r="X45"/>
  <c r="X101" s="1"/>
  <c r="W45"/>
  <c r="W101" s="1"/>
  <c r="V45"/>
  <c r="V101" s="1"/>
  <c r="U45"/>
  <c r="U101" s="1"/>
  <c r="T45"/>
  <c r="T101" s="1"/>
  <c r="S45"/>
  <c r="S101" s="1"/>
  <c r="R45"/>
  <c r="R101" s="1"/>
  <c r="Q45"/>
  <c r="Q101" s="1"/>
  <c r="P45"/>
  <c r="P101" s="1"/>
  <c r="O45"/>
  <c r="O101" s="1"/>
  <c r="N45"/>
  <c r="N101" s="1"/>
  <c r="M45"/>
  <c r="M101" s="1"/>
  <c r="L45"/>
  <c r="L101" s="1"/>
  <c r="K45"/>
  <c r="K101" s="1"/>
  <c r="J45"/>
  <c r="J101" s="1"/>
  <c r="I45"/>
  <c r="H45"/>
  <c r="G45"/>
  <c r="F45"/>
  <c r="F101" s="1"/>
  <c r="E45"/>
  <c r="E101" s="1"/>
  <c r="D45"/>
  <c r="D101" s="1"/>
  <c r="C45"/>
  <c r="C101" s="1"/>
  <c r="B45"/>
  <c r="B101" s="1"/>
  <c r="Y62"/>
  <c r="Y118" s="1"/>
  <c r="X62"/>
  <c r="X118" s="1"/>
  <c r="W62"/>
  <c r="W118" s="1"/>
  <c r="V62"/>
  <c r="V118" s="1"/>
  <c r="U62"/>
  <c r="U118" s="1"/>
  <c r="T62"/>
  <c r="T118" s="1"/>
  <c r="S62"/>
  <c r="S118" s="1"/>
  <c r="R62"/>
  <c r="R118" s="1"/>
  <c r="Q62"/>
  <c r="Q118" s="1"/>
  <c r="P62"/>
  <c r="P118" s="1"/>
  <c r="O62"/>
  <c r="O118" s="1"/>
  <c r="N62"/>
  <c r="N118" s="1"/>
  <c r="M62"/>
  <c r="M118" s="1"/>
  <c r="L62"/>
  <c r="L118" s="1"/>
  <c r="K62"/>
  <c r="K118" s="1"/>
  <c r="J62"/>
  <c r="J118" s="1"/>
  <c r="I62"/>
  <c r="I118" s="1"/>
  <c r="H62"/>
  <c r="H118" s="1"/>
  <c r="G62"/>
  <c r="G118" s="1"/>
  <c r="F62"/>
  <c r="F118" s="1"/>
  <c r="E62"/>
  <c r="E118" s="1"/>
  <c r="D62"/>
  <c r="D118" s="1"/>
  <c r="C62"/>
  <c r="C118" s="1"/>
  <c r="B62"/>
  <c r="B118" s="1"/>
  <c r="Y61"/>
  <c r="Y117" s="1"/>
  <c r="X61"/>
  <c r="X117" s="1"/>
  <c r="W61"/>
  <c r="W117" s="1"/>
  <c r="V61"/>
  <c r="V117" s="1"/>
  <c r="U61"/>
  <c r="U117" s="1"/>
  <c r="T61"/>
  <c r="T117" s="1"/>
  <c r="S61"/>
  <c r="S117" s="1"/>
  <c r="R61"/>
  <c r="R117" s="1"/>
  <c r="Q61"/>
  <c r="Q117" s="1"/>
  <c r="P61"/>
  <c r="P117" s="1"/>
  <c r="O61"/>
  <c r="O117" s="1"/>
  <c r="N61"/>
  <c r="N117" s="1"/>
  <c r="M61"/>
  <c r="M117" s="1"/>
  <c r="L61"/>
  <c r="L117" s="1"/>
  <c r="K61"/>
  <c r="K117" s="1"/>
  <c r="J61"/>
  <c r="J117" s="1"/>
  <c r="I61"/>
  <c r="I117" s="1"/>
  <c r="H61"/>
  <c r="H117" s="1"/>
  <c r="G61"/>
  <c r="G117" s="1"/>
  <c r="F61"/>
  <c r="F117" s="1"/>
  <c r="E61"/>
  <c r="E117" s="1"/>
  <c r="D61"/>
  <c r="D117" s="1"/>
  <c r="C61"/>
  <c r="C117" s="1"/>
  <c r="B61"/>
  <c r="B117" s="1"/>
  <c r="Y60"/>
  <c r="Y116" s="1"/>
  <c r="B60"/>
  <c r="Y64"/>
  <c r="Y120" s="1"/>
  <c r="W60"/>
  <c r="W116" s="1"/>
  <c r="X60"/>
  <c r="X116" s="1"/>
  <c r="Y58"/>
  <c r="Y114" s="1"/>
  <c r="V60"/>
  <c r="V116" s="1"/>
  <c r="U60"/>
  <c r="U116" s="1"/>
  <c r="T60"/>
  <c r="T116" s="1"/>
  <c r="S60"/>
  <c r="S116" s="1"/>
  <c r="R60"/>
  <c r="R116" s="1"/>
  <c r="Q60"/>
  <c r="Q116" s="1"/>
  <c r="P60"/>
  <c r="P116" s="1"/>
  <c r="O60"/>
  <c r="O116" s="1"/>
  <c r="N60"/>
  <c r="N116" s="1"/>
  <c r="M60"/>
  <c r="M116" s="1"/>
  <c r="L60"/>
  <c r="L116" s="1"/>
  <c r="K60"/>
  <c r="K116" s="1"/>
  <c r="J60"/>
  <c r="J116" s="1"/>
  <c r="I60"/>
  <c r="I116" s="1"/>
  <c r="H60"/>
  <c r="H116" s="1"/>
  <c r="G60"/>
  <c r="G116" s="1"/>
  <c r="F60"/>
  <c r="F116" s="1"/>
  <c r="E60"/>
  <c r="D60"/>
  <c r="C60"/>
  <c r="Y51"/>
  <c r="Y107" s="1"/>
  <c r="X51"/>
  <c r="X107" s="1"/>
  <c r="W51"/>
  <c r="W107" s="1"/>
  <c r="V51"/>
  <c r="V107" s="1"/>
  <c r="U51"/>
  <c r="U107" s="1"/>
  <c r="T51"/>
  <c r="T107" s="1"/>
  <c r="S51"/>
  <c r="S107" s="1"/>
  <c r="R51"/>
  <c r="R107" s="1"/>
  <c r="Q51"/>
  <c r="Q107" s="1"/>
  <c r="P51"/>
  <c r="P107" s="1"/>
  <c r="O51"/>
  <c r="O107" s="1"/>
  <c r="N51"/>
  <c r="N107" s="1"/>
  <c r="M51"/>
  <c r="M107" s="1"/>
  <c r="L51"/>
  <c r="L107" s="1"/>
  <c r="K51"/>
  <c r="K107" s="1"/>
  <c r="J51"/>
  <c r="J107" s="1"/>
  <c r="I51"/>
  <c r="I107" s="1"/>
  <c r="H51"/>
  <c r="H107" s="1"/>
  <c r="G51"/>
  <c r="G107" s="1"/>
  <c r="F51"/>
  <c r="F107" s="1"/>
  <c r="E51"/>
  <c r="E107" s="1"/>
  <c r="D51"/>
  <c r="D107" s="1"/>
  <c r="C51"/>
  <c r="C107" s="1"/>
  <c r="B51"/>
  <c r="B107" s="1"/>
  <c r="E116" l="1"/>
  <c r="D116"/>
  <c r="C116"/>
  <c r="I101"/>
  <c r="H101"/>
  <c r="G101"/>
  <c r="X64"/>
  <c r="X120" s="1"/>
  <c r="W64"/>
  <c r="W120" s="1"/>
  <c r="V64"/>
  <c r="V120" s="1"/>
  <c r="U64"/>
  <c r="U120" s="1"/>
  <c r="T64"/>
  <c r="T120" s="1"/>
  <c r="S64"/>
  <c r="S120" s="1"/>
  <c r="R64"/>
  <c r="R120" s="1"/>
  <c r="Q64"/>
  <c r="Q120" s="1"/>
  <c r="P64"/>
  <c r="P120" s="1"/>
  <c r="O64"/>
  <c r="O120" s="1"/>
  <c r="N64"/>
  <c r="N120" s="1"/>
  <c r="M64"/>
  <c r="M120" s="1"/>
  <c r="L64"/>
  <c r="L120" s="1"/>
  <c r="K64"/>
  <c r="K120" s="1"/>
  <c r="J64"/>
  <c r="J120" s="1"/>
  <c r="I64"/>
  <c r="I120" s="1"/>
  <c r="H64"/>
  <c r="H120" s="1"/>
  <c r="G64"/>
  <c r="G120" s="1"/>
  <c r="F64"/>
  <c r="F120" s="1"/>
  <c r="E64"/>
  <c r="E120" s="1"/>
  <c r="D64"/>
  <c r="D120" s="1"/>
  <c r="C64"/>
  <c r="C120" s="1"/>
  <c r="B64"/>
  <c r="B120" s="1"/>
  <c r="X58"/>
  <c r="X114" s="1"/>
  <c r="W58"/>
  <c r="W114" s="1"/>
  <c r="V58"/>
  <c r="V114" s="1"/>
  <c r="U58"/>
  <c r="U114" s="1"/>
  <c r="T58"/>
  <c r="T114" s="1"/>
  <c r="S58"/>
  <c r="S114" s="1"/>
  <c r="R58"/>
  <c r="R114" s="1"/>
  <c r="Q58"/>
  <c r="Q114" s="1"/>
  <c r="P58"/>
  <c r="P114" s="1"/>
  <c r="O58"/>
  <c r="O114" s="1"/>
  <c r="N58"/>
  <c r="N114" s="1"/>
  <c r="M58"/>
  <c r="M114" s="1"/>
  <c r="L58"/>
  <c r="L114" s="1"/>
  <c r="K58"/>
  <c r="K114" s="1"/>
  <c r="J58"/>
  <c r="J114" s="1"/>
  <c r="I58"/>
  <c r="I114" s="1"/>
  <c r="F58"/>
  <c r="F114" s="1"/>
  <c r="B58"/>
  <c r="B114" s="1"/>
  <c r="H58"/>
  <c r="H114" s="1"/>
  <c r="G58"/>
  <c r="G114" s="1"/>
  <c r="E58"/>
  <c r="E114" s="1"/>
  <c r="D58"/>
  <c r="D114" s="1"/>
  <c r="C58"/>
  <c r="C114" s="1"/>
  <c r="Y52"/>
  <c r="Y108" s="1"/>
  <c r="X52"/>
  <c r="X108" s="1"/>
  <c r="W52"/>
  <c r="W108" s="1"/>
  <c r="V52"/>
  <c r="V108" s="1"/>
  <c r="U52"/>
  <c r="U108" s="1"/>
  <c r="T52"/>
  <c r="T108" s="1"/>
  <c r="S52"/>
  <c r="S108" s="1"/>
  <c r="R52"/>
  <c r="R108" s="1"/>
  <c r="Q52"/>
  <c r="Q108" s="1"/>
  <c r="P52"/>
  <c r="P108" s="1"/>
  <c r="O52"/>
  <c r="O108" s="1"/>
  <c r="N52"/>
  <c r="N108" s="1"/>
  <c r="M52"/>
  <c r="M108" s="1"/>
  <c r="L52"/>
  <c r="L108" s="1"/>
  <c r="K52"/>
  <c r="K108" s="1"/>
  <c r="J52"/>
  <c r="J108" s="1"/>
  <c r="I52"/>
  <c r="I108" s="1"/>
  <c r="H52"/>
  <c r="H108" s="1"/>
  <c r="G52"/>
  <c r="G108" s="1"/>
  <c r="F52"/>
  <c r="F108" s="1"/>
  <c r="E52"/>
  <c r="E108" s="1"/>
  <c r="D52"/>
  <c r="D108" s="1"/>
  <c r="C52"/>
  <c r="C108" s="1"/>
  <c r="B52"/>
  <c r="B108" s="1"/>
  <c r="Y47"/>
  <c r="Y103" s="1"/>
  <c r="X47"/>
  <c r="X103" s="1"/>
  <c r="W47"/>
  <c r="W103" s="1"/>
  <c r="V47"/>
  <c r="V103" s="1"/>
  <c r="U47"/>
  <c r="U103" s="1"/>
  <c r="T47"/>
  <c r="T103" s="1"/>
  <c r="S47"/>
  <c r="S103" s="1"/>
  <c r="R47"/>
  <c r="R103" s="1"/>
  <c r="Q47"/>
  <c r="Q103" s="1"/>
  <c r="P47"/>
  <c r="P103" s="1"/>
  <c r="O47"/>
  <c r="O103" s="1"/>
  <c r="N47"/>
  <c r="N103" s="1"/>
  <c r="M47"/>
  <c r="M103" s="1"/>
  <c r="L47"/>
  <c r="L103" s="1"/>
  <c r="K47"/>
  <c r="K103" s="1"/>
  <c r="J47"/>
  <c r="J103" s="1"/>
  <c r="I47"/>
  <c r="I103" s="1"/>
  <c r="H47"/>
  <c r="H103" s="1"/>
  <c r="G47"/>
  <c r="G103" s="1"/>
  <c r="F47"/>
  <c r="F103" s="1"/>
  <c r="E47"/>
  <c r="E103" s="1"/>
  <c r="D47"/>
  <c r="D103" s="1"/>
  <c r="C47"/>
  <c r="C103" s="1"/>
  <c r="B47"/>
  <c r="B103" s="1"/>
  <c r="Y46"/>
  <c r="Y102" s="1"/>
  <c r="X46"/>
  <c r="X102" s="1"/>
  <c r="W46"/>
  <c r="W102" s="1"/>
  <c r="V46"/>
  <c r="V102" s="1"/>
  <c r="T46"/>
  <c r="T102" s="1"/>
  <c r="C46"/>
  <c r="C102" s="1"/>
  <c r="U46"/>
  <c r="U102" s="1"/>
  <c r="S46"/>
  <c r="S102" s="1"/>
  <c r="R46"/>
  <c r="R102" s="1"/>
  <c r="Q46"/>
  <c r="Q102" s="1"/>
  <c r="P46"/>
  <c r="P102" s="1"/>
  <c r="O46"/>
  <c r="O102" s="1"/>
  <c r="N46"/>
  <c r="N102" s="1"/>
  <c r="M46"/>
  <c r="M102" s="1"/>
  <c r="L46"/>
  <c r="L102" s="1"/>
  <c r="K46"/>
  <c r="K102" s="1"/>
  <c r="J46"/>
  <c r="J102" s="1"/>
  <c r="I46"/>
  <c r="I102" s="1"/>
  <c r="H46"/>
  <c r="H102" s="1"/>
  <c r="G46"/>
  <c r="G102" s="1"/>
  <c r="F46"/>
  <c r="F102" s="1"/>
  <c r="E46"/>
  <c r="E102" s="1"/>
  <c r="D46"/>
  <c r="D102" s="1"/>
  <c r="B46"/>
  <c r="B102" s="1"/>
  <c r="V15" i="12" l="1"/>
  <c r="V14"/>
  <c r="S64"/>
  <c r="R61" i="21"/>
  <c r="P61"/>
  <c r="T64" i="12"/>
  <c r="U64"/>
  <c r="R64"/>
  <c r="I21" i="9" l="1"/>
  <c r="O21" s="1"/>
  <c r="J46" s="1"/>
  <c r="V64" i="12"/>
  <c r="I18" i="9" l="1"/>
  <c r="I24" s="1"/>
  <c r="I25" l="1"/>
  <c r="O18"/>
  <c r="O24" s="1"/>
  <c r="O25" s="1"/>
  <c r="H34" l="1"/>
  <c r="G46"/>
  <c r="H38" l="1"/>
  <c r="H36"/>
  <c r="F47"/>
</calcChain>
</file>

<file path=xl/sharedStrings.xml><?xml version="1.0" encoding="utf-8"?>
<sst xmlns="http://schemas.openxmlformats.org/spreadsheetml/2006/main" count="583" uniqueCount="265">
  <si>
    <t>ÍNDEX</t>
  </si>
  <si>
    <r>
      <rPr>
        <b/>
        <u/>
        <sz val="11"/>
        <color rgb="FF000000"/>
        <rFont val="Arial Narrow"/>
        <family val="2"/>
      </rPr>
      <t>Llegenda de tipus de caselles</t>
    </r>
    <r>
      <rPr>
        <b/>
        <sz val="11"/>
        <color rgb="FF000000"/>
        <rFont val="Arial Narrow"/>
        <family val="2"/>
      </rPr>
      <t>:</t>
    </r>
  </si>
  <si>
    <t>Caselles a emplenar per l'usuari</t>
  </si>
  <si>
    <t>Caselles bloquejades que s'autocompleten</t>
  </si>
  <si>
    <t>2.1</t>
  </si>
  <si>
    <t>2.2</t>
  </si>
  <si>
    <t>Indiqui els noms de les societats que conforma el grup empresarial:</t>
  </si>
  <si>
    <t>C.I.F. / N.I.F.</t>
  </si>
  <si>
    <t>Nom societat</t>
  </si>
  <si>
    <t>Societat principal?</t>
  </si>
  <si>
    <t>Illa</t>
  </si>
  <si>
    <t>Municipi</t>
  </si>
  <si>
    <t>Quantitat</t>
  </si>
  <si>
    <t>Unitat</t>
  </si>
  <si>
    <t>-</t>
  </si>
  <si>
    <t>TOTAL</t>
  </si>
  <si>
    <t>B7 (l)</t>
  </si>
  <si>
    <t>E5 (l)</t>
  </si>
  <si>
    <t>CH4</t>
  </si>
  <si>
    <t>N2O</t>
  </si>
  <si>
    <t>CÀPSULA DE CÀLCUL 1.1. Absorcions per part dels arbres plantats o de regeneració natural</t>
  </si>
  <si>
    <t>CÀPSULA DE CÀLCUL 2.1. Emissions per descomposició o crema de restes de tallada i arrels mortes</t>
  </si>
  <si>
    <t>CÀPSULA DE CÀLCUL 2.2. Emissions de vehicles i maquinària</t>
  </si>
  <si>
    <t>CÀPSULA DE CÀLCUL 2.3. Emissions per crema de restes de tallada</t>
  </si>
  <si>
    <t>CÀPSULA DE CÀLCUL 2.4. Emissions dels productes fusters</t>
  </si>
  <si>
    <t>Espècie</t>
  </si>
  <si>
    <t>Absorcions acumulades al llarg dels anys (kg CO2/peu)</t>
  </si>
  <si>
    <t>Aladern de fulla ampla (Phillyrea latifolia)</t>
  </si>
  <si>
    <t>Alzina (Quercus ilex)</t>
  </si>
  <si>
    <t>Alzina surera (Quercus suber)</t>
  </si>
  <si>
    <t>Arbocera (Arbutus unedo)</t>
  </si>
  <si>
    <t>Arbre de visc (Ilex aquifolium)</t>
  </si>
  <si>
    <t>Espinaler (Crataegus spp.)</t>
  </si>
  <si>
    <t>Freixe (Fraxinus angustifolia)</t>
  </si>
  <si>
    <t>Garrover (Ceratonia siliqua)</t>
  </si>
  <si>
    <t>Garrover bord (Pistacia terebinthus)</t>
  </si>
  <si>
    <t>Ginebró (Juniperus oxycedrus)</t>
  </si>
  <si>
    <t>Llampúgol (Rhamnus alaternus)</t>
  </si>
  <si>
    <t>Llorer (Laurus nobilis)</t>
  </si>
  <si>
    <t>Murta (Myrtus communis)</t>
  </si>
  <si>
    <t>Ullastre (Olea europaea var. sylvestris)</t>
  </si>
  <si>
    <t>Om (Ulmus minor)</t>
  </si>
  <si>
    <t xml:space="preserve">Pi blanc (Pinus halepensis) </t>
  </si>
  <si>
    <t>Pi pinastre (Pinus pinaster)</t>
  </si>
  <si>
    <t>Pi pinyer (Pinus pinea)</t>
  </si>
  <si>
    <t>Plàtan (Platanus hispanica)</t>
  </si>
  <si>
    <t>Poll (Populus nigra)</t>
  </si>
  <si>
    <t xml:space="preserve">Pomera borda (Sorbus aria) </t>
  </si>
  <si>
    <t>Rotaboc (Acer opalus)</t>
  </si>
  <si>
    <t>Salze blanc (Salix alba)</t>
  </si>
  <si>
    <t>Savina (Juniperus phoenicea)</t>
  </si>
  <si>
    <t>Servera (Sorbus domestica)</t>
  </si>
  <si>
    <t>Tamarell (Tamarix spp.)</t>
  </si>
  <si>
    <t>Teix (Taxus baccata)</t>
  </si>
  <si>
    <t>Rebrotadora/No rebrotadora</t>
  </si>
  <si>
    <t>Rebrotadora</t>
  </si>
  <si>
    <t>No rebrotadora</t>
  </si>
  <si>
    <t>Factors de pèrdua</t>
  </si>
  <si>
    <t>%</t>
  </si>
  <si>
    <t>Absorcions acumulades a les diferents fraccions de biomassa al llarg dels anys (kg CO2/peu)</t>
  </si>
  <si>
    <t>BST-5</t>
  </si>
  <si>
    <t>Bb&gt;2-5</t>
  </si>
  <si>
    <t>Bt-5</t>
  </si>
  <si>
    <t>Bb&lt;2iBf-5</t>
  </si>
  <si>
    <t>BST-10</t>
  </si>
  <si>
    <t>Bt-10</t>
  </si>
  <si>
    <t>Bb&gt;2-10</t>
  </si>
  <si>
    <t>Bb&lt;2iBf-10</t>
  </si>
  <si>
    <t>BST-15</t>
  </si>
  <si>
    <t>Bt-15</t>
  </si>
  <si>
    <t>Bb&gt;2-15</t>
  </si>
  <si>
    <t>Bb&lt;2iBf-15</t>
  </si>
  <si>
    <t>BST-20</t>
  </si>
  <si>
    <t>Bt-20</t>
  </si>
  <si>
    <t>Bb&gt;2-20</t>
  </si>
  <si>
    <t>Bb&lt;2iBf-20</t>
  </si>
  <si>
    <t>BST-25</t>
  </si>
  <si>
    <t>Bt-25</t>
  </si>
  <si>
    <t>Bb&gt;2-25</t>
  </si>
  <si>
    <t>Bb&lt;2iBf-25</t>
  </si>
  <si>
    <t>BST-30</t>
  </si>
  <si>
    <t>Bt-30</t>
  </si>
  <si>
    <t>Bb&gt;2-30</t>
  </si>
  <si>
    <t>Bb&lt;2iBf-30</t>
  </si>
  <si>
    <t>Tipus de tractament</t>
  </si>
  <si>
    <t>Desbrossament</t>
  </si>
  <si>
    <t>Aclarida de plançoneda</t>
  </si>
  <si>
    <t>Aclarida i tallada selectiva</t>
  </si>
  <si>
    <t>Tallada de regeneració</t>
  </si>
  <si>
    <t>Transport en camió de planta o producte fuster</t>
  </si>
  <si>
    <t>Obertura mecanitzada de clots</t>
  </si>
  <si>
    <t>Solcat amb subsolador</t>
  </si>
  <si>
    <t>UD</t>
  </si>
  <si>
    <t>Pes en sec de les diferents fraccions de biomassa al llarg dels anys (kg/peu)</t>
  </si>
  <si>
    <t>Llenyoses</t>
  </si>
  <si>
    <t>Fe CH4 (t CH4/t MS quemada)</t>
  </si>
  <si>
    <t>Fe N2O (t N2O/t MS quemada)</t>
  </si>
  <si>
    <r>
      <rPr>
        <b/>
        <sz val="11"/>
        <color rgb="FF000000"/>
        <rFont val="Calibri"/>
        <family val="2"/>
      </rPr>
      <t xml:space="preserve">Taula 1. </t>
    </r>
    <r>
      <rPr>
        <sz val="11"/>
        <color rgb="FF000000"/>
        <rFont val="Calibri"/>
        <family val="2"/>
        <charset val="1"/>
      </rPr>
      <t>Factors d'absorció (Fa) per a les principals espècies forestals de port arboni. Font: Ameztegui i Torné (2020), elaboració pròpia i MITERD (2023).</t>
    </r>
  </si>
  <si>
    <r>
      <rPr>
        <b/>
        <sz val="11"/>
        <color rgb="FF000000"/>
        <rFont val="Calibri"/>
        <family val="2"/>
      </rPr>
      <t>Taula 2.</t>
    </r>
    <r>
      <rPr>
        <sz val="11"/>
        <color rgb="FF000000"/>
        <rFont val="Calibri"/>
        <family val="2"/>
        <charset val="1"/>
      </rPr>
      <t xml:space="preserve"> Factors de pèrdua per descomposició o crema de restes de tallada i arrels mortes. </t>
    </r>
  </si>
  <si>
    <r>
      <rPr>
        <b/>
        <sz val="11"/>
        <color rgb="FF000000"/>
        <rFont val="Calibri"/>
        <family val="2"/>
      </rPr>
      <t>Taula 3.</t>
    </r>
    <r>
      <rPr>
        <sz val="11"/>
        <color rgb="FF000000"/>
        <rFont val="Calibri"/>
        <family val="2"/>
        <charset val="1"/>
      </rPr>
      <t xml:space="preserve"> Factors d'absorció de les diferents fraccions de biomassa de les principals espècies forestals de port arbori. Font: Montero et al. (2005) i elabroació pròpia.</t>
    </r>
  </si>
  <si>
    <r>
      <rPr>
        <b/>
        <sz val="11"/>
        <color rgb="FF000000"/>
        <rFont val="Calibri"/>
        <family val="2"/>
      </rPr>
      <t>Taula 5.</t>
    </r>
    <r>
      <rPr>
        <sz val="11"/>
        <color rgb="FF000000"/>
        <rFont val="Calibri"/>
        <family val="2"/>
        <charset val="1"/>
      </rPr>
      <t xml:space="preserve"> Pes en sec de les diferents fraccions de biomassa de les principals espècies forestals de port arboni. Font: elaboració pròpia i Montero et al. (2005).</t>
    </r>
  </si>
  <si>
    <r>
      <rPr>
        <b/>
        <sz val="11"/>
        <color rgb="FF000000"/>
        <rFont val="Calibri"/>
        <family val="2"/>
      </rPr>
      <t>Taula 6.</t>
    </r>
    <r>
      <rPr>
        <sz val="11"/>
        <color rgb="FF000000"/>
        <rFont val="Calibri"/>
        <family val="2"/>
        <charset val="1"/>
      </rPr>
      <t xml:space="preserve"> Factors d'emissió per a la cream de restes de tallada de les principals espècies forestals de port arbori. Font: MITERD (2024).</t>
    </r>
  </si>
  <si>
    <t>GEH</t>
  </si>
  <si>
    <t>Equivalència</t>
  </si>
  <si>
    <t>kg CO2 eq/kg CH4</t>
  </si>
  <si>
    <t>kg CO2 eq/kg N2O</t>
  </si>
  <si>
    <r>
      <rPr>
        <b/>
        <sz val="11"/>
        <color rgb="FF000000"/>
        <rFont val="Calibri"/>
        <family val="2"/>
      </rPr>
      <t>Taula 7.</t>
    </r>
    <r>
      <rPr>
        <sz val="11"/>
        <color rgb="FF000000"/>
        <rFont val="Calibri"/>
        <family val="2"/>
        <charset val="1"/>
      </rPr>
      <t xml:space="preserve"> Taula d'equivalències a diòxid de carboni. Font: factors emissió CAIB 2023.</t>
    </r>
  </si>
  <si>
    <t>Vida útil del producte fuster</t>
  </si>
  <si>
    <t>Factor de retorn (%)</t>
  </si>
  <si>
    <r>
      <rPr>
        <b/>
        <sz val="11"/>
        <color rgb="FF000000"/>
        <rFont val="Calibri"/>
        <family val="2"/>
      </rPr>
      <t>Taula 8.</t>
    </r>
    <r>
      <rPr>
        <sz val="11"/>
        <color rgb="FF000000"/>
        <rFont val="Calibri"/>
        <family val="2"/>
        <charset val="1"/>
      </rPr>
      <t xml:space="preserve"> Factor de retorn a l'atmosfera del carboni fixat als productes en funció del seu cicle de vida. Font: LifeClimark</t>
    </r>
  </si>
  <si>
    <t>Dades generals del projecte</t>
  </si>
  <si>
    <t xml:space="preserve">                                                                        DADES GENERALS DEL PROJECTE                                                                            </t>
  </si>
  <si>
    <t xml:space="preserve">                                                                       CÀPSULA 1.1: ABSORCIONS DELS ARBRES PLANTATS O PROCEDENTS DE REGENERACIÓ NATURAL                                                                             </t>
  </si>
  <si>
    <t xml:space="preserve">                                          CÀPSULA 2.2: EMISSIONS DE VEHICLES I MAQUINÀRIA</t>
  </si>
  <si>
    <t xml:space="preserve">Per a fer un ús adequat de la calculadora, empleni les pestanyes en ordre. </t>
  </si>
  <si>
    <t xml:space="preserve">Càpsula 1.1: Absorcions dels arbres plantats o procedents de regeneració natural    </t>
  </si>
  <si>
    <t>Càpsula 2.2: Emissions de vehicles i maquinària</t>
  </si>
  <si>
    <t>Càpsula 2.4: Emissions dels productes fusters</t>
  </si>
  <si>
    <t>2.3</t>
  </si>
  <si>
    <t>2.4</t>
  </si>
  <si>
    <t>2.5</t>
  </si>
  <si>
    <t>CALCULADORA BALEAR DE LES ABSORCIONS DE CARBONI EN REPOBLACIONS FORESTALS 
(PLANTACIONS I ACTUACIONS PER GARANTIR LA REGENERACIÓ NATURAL)</t>
  </si>
  <si>
    <t>Any primera intervenció</t>
  </si>
  <si>
    <t>Anys de permanència</t>
  </si>
  <si>
    <t>Absorcions acumulades</t>
  </si>
  <si>
    <t>Espècie a intervenir</t>
  </si>
  <si>
    <t>Nº de peus a extreure</t>
  </si>
  <si>
    <t>Indicador (superfície, combustible, etc.)</t>
  </si>
  <si>
    <t>Crema de fulles i branques &lt;2 cm</t>
  </si>
  <si>
    <t>Crema de branques &gt;2 cm</t>
  </si>
  <si>
    <t>Crema de tronc</t>
  </si>
  <si>
    <t>Tipus productes de fulles i branques &lt;2 cm</t>
  </si>
  <si>
    <t>Tipus productes de branques &gt;2 cm</t>
  </si>
  <si>
    <t>Tipus productes de tronc</t>
  </si>
  <si>
    <t>ID BST</t>
  </si>
  <si>
    <t>ID Bb&lt;2iBf</t>
  </si>
  <si>
    <t>ID Bb&gt;2</t>
  </si>
  <si>
    <t>ID Bt</t>
  </si>
  <si>
    <t>Crema</t>
  </si>
  <si>
    <t>Descomposició</t>
  </si>
  <si>
    <t>Producte</t>
  </si>
  <si>
    <t>Vida útil curta (&lt;2 anys)</t>
  </si>
  <si>
    <t>Vida útil mitjana (&lt;10 anys)</t>
  </si>
  <si>
    <t>Vida útil llarga (&gt;30 anys)</t>
  </si>
  <si>
    <t>No s'obté producte</t>
  </si>
  <si>
    <t>ha</t>
  </si>
  <si>
    <t>km</t>
  </si>
  <si>
    <t>clot</t>
  </si>
  <si>
    <t>Consum combustible gasoil B</t>
  </si>
  <si>
    <t>Consum combustible B7</t>
  </si>
  <si>
    <t>Consum combustible B10</t>
  </si>
  <si>
    <t>Consum combustible B20</t>
  </si>
  <si>
    <t>Consum combustible B30</t>
  </si>
  <si>
    <t>Consum combustible B100</t>
  </si>
  <si>
    <t>Consum combustible E5</t>
  </si>
  <si>
    <t>Consum combustible E10</t>
  </si>
  <si>
    <t>Consum combustible E85</t>
  </si>
  <si>
    <t>Consum combustible E100</t>
  </si>
  <si>
    <t>Consum lubricants</t>
  </si>
  <si>
    <t>l</t>
  </si>
  <si>
    <t>FE CO2 (kg/ud)</t>
  </si>
  <si>
    <t>FE CH4 (kg/ud)</t>
  </si>
  <si>
    <t>FE N2O (kg/ud)</t>
  </si>
  <si>
    <t>t CO2 eq</t>
  </si>
  <si>
    <r>
      <rPr>
        <b/>
        <sz val="11"/>
        <color rgb="FF000000"/>
        <rFont val="Calibri"/>
        <family val="2"/>
      </rPr>
      <t>Taula 4.</t>
    </r>
    <r>
      <rPr>
        <sz val="11"/>
        <color rgb="FF000000"/>
        <rFont val="Calibri"/>
        <family val="2"/>
        <charset val="1"/>
      </rPr>
      <t xml:space="preserve"> Factors d'emissió de referència de la maquinària utilitzada segons el tipus de tractament silvícola. Font: elaboració pròpia i Cervera et al. (2005). Calculadora petjada CAIB 2023</t>
    </r>
  </si>
  <si>
    <t>40 clots/h Consum 12l/h</t>
  </si>
  <si>
    <t>1,8 h/km Consum 12 l/h</t>
  </si>
  <si>
    <t>Unitat (ud)</t>
  </si>
  <si>
    <t>FE genèric (t CO2 eq)</t>
  </si>
  <si>
    <t>Resultats d'absorcions del projecte</t>
  </si>
  <si>
    <t xml:space="preserve">                                          INFORME FINAL: RESULTATS D'ABSORCIONS DEL PROJECTE</t>
  </si>
  <si>
    <t>1. Dades del projecte</t>
  </si>
  <si>
    <t>2.1. Càpsula 1.1: Absorcions dels arbres</t>
  </si>
  <si>
    <t>2.3. Càpsula 2.2: Emissions de vehicles i maquinària</t>
  </si>
  <si>
    <t>2.5. Càpsula 2.4: Emissions dels productes fusters</t>
  </si>
  <si>
    <t>3. Resultats d'absorcions del projecte</t>
  </si>
  <si>
    <t>Promotor del projecte</t>
  </si>
  <si>
    <t>Títol del projecte</t>
  </si>
  <si>
    <t>C.I.F. / N.I.F</t>
  </si>
  <si>
    <t>Localitat</t>
  </si>
  <si>
    <t>RESULTATS DE LES ABSORCIONS DISPONIBLES DEL PROJECTE</t>
  </si>
  <si>
    <t>RESULTATS DE LES CÀPSULES DE CÀLCUL</t>
  </si>
  <si>
    <t>Superfície d'actuació (ha)</t>
  </si>
  <si>
    <t>Nº de peus a plantar / Regeneració natural</t>
  </si>
  <si>
    <t>Emissions</t>
  </si>
  <si>
    <t>Absorcions</t>
  </si>
  <si>
    <t>Càpsules de càlcul</t>
  </si>
  <si>
    <t>1.1</t>
  </si>
  <si>
    <t>Absorcions dels arbres</t>
  </si>
  <si>
    <t>Emissions vehicles i maquinària</t>
  </si>
  <si>
    <t>Emissions de productes fusters</t>
  </si>
  <si>
    <t>Total emissions i absorcions</t>
  </si>
  <si>
    <t>Balanç del projecte</t>
  </si>
  <si>
    <t>Absorcions a cedir a la bossa de garantia (2%)</t>
  </si>
  <si>
    <t>Absorcions disponibles (18%)</t>
  </si>
  <si>
    <t>Balanç</t>
  </si>
  <si>
    <t>1.1 Absorcions dels arbres</t>
  </si>
  <si>
    <t>2.2 Emissions vehicles i maquinària</t>
  </si>
  <si>
    <t>2.4 Emissions productes fusters</t>
  </si>
  <si>
    <t>Absorcions previstes (ex-ante)</t>
  </si>
  <si>
    <t>ID rodal</t>
  </si>
  <si>
    <t>Referència cadastral</t>
  </si>
  <si>
    <t>Any de plantació / 
Any de regeneració natural</t>
  </si>
  <si>
    <t>Any de la primera intervenció</t>
  </si>
  <si>
    <r>
      <t>kg CO</t>
    </r>
    <r>
      <rPr>
        <b/>
        <vertAlign val="subscript"/>
        <sz val="11"/>
        <color rgb="FF000000"/>
        <rFont val="Arial Narrow"/>
        <family val="2"/>
        <charset val="1"/>
      </rPr>
      <t>2</t>
    </r>
  </si>
  <si>
    <r>
      <t>g CH</t>
    </r>
    <r>
      <rPr>
        <b/>
        <vertAlign val="subscript"/>
        <sz val="11"/>
        <color rgb="FF000000"/>
        <rFont val="Arial Narrow"/>
        <family val="2"/>
        <charset val="1"/>
      </rPr>
      <t>4</t>
    </r>
  </si>
  <si>
    <r>
      <t>g N</t>
    </r>
    <r>
      <rPr>
        <b/>
        <vertAlign val="subscript"/>
        <sz val="11"/>
        <color rgb="FF000000"/>
        <rFont val="Arial Narrow"/>
        <family val="2"/>
        <charset val="1"/>
      </rPr>
      <t>2</t>
    </r>
    <r>
      <rPr>
        <b/>
        <sz val="11"/>
        <color rgb="FF000000"/>
        <rFont val="Arial Narrow"/>
        <family val="2"/>
        <charset val="1"/>
      </rPr>
      <t>O</t>
    </r>
  </si>
  <si>
    <r>
      <t>t CO</t>
    </r>
    <r>
      <rPr>
        <b/>
        <vertAlign val="subscript"/>
        <sz val="11"/>
        <color rgb="FF000000"/>
        <rFont val="Arial Narrow"/>
        <family val="2"/>
        <charset val="1"/>
      </rPr>
      <t>2</t>
    </r>
    <r>
      <rPr>
        <b/>
        <sz val="11"/>
        <color rgb="FF000000"/>
        <rFont val="Arial Narrow"/>
        <family val="2"/>
        <charset val="1"/>
      </rPr>
      <t xml:space="preserve"> eq</t>
    </r>
  </si>
  <si>
    <r>
      <t>tn CO</t>
    </r>
    <r>
      <rPr>
        <b/>
        <vertAlign val="subscript"/>
        <sz val="11"/>
        <color rgb="FF000000"/>
        <rFont val="Arial Narrow"/>
        <family val="2"/>
        <charset val="1"/>
      </rPr>
      <t>2</t>
    </r>
    <r>
      <rPr>
        <b/>
        <sz val="11"/>
        <color rgb="FF000000"/>
        <rFont val="Arial Narrow"/>
        <family val="2"/>
        <charset val="1"/>
      </rPr>
      <t>eq</t>
    </r>
  </si>
  <si>
    <t>CÀPSULA 2.4: EMISSIONS DELS PRODUCTES FUSTERS</t>
  </si>
  <si>
    <r>
      <t xml:space="preserve">Aquesta càpsula de càlcul quantifica el </t>
    </r>
    <r>
      <rPr>
        <b/>
        <sz val="11"/>
        <rFont val="Arial Narrow"/>
        <family val="2"/>
      </rPr>
      <t xml:space="preserve">carboni total que fixen els arbres en la seva biomassa aèria i subterrània </t>
    </r>
    <r>
      <rPr>
        <sz val="11"/>
        <rFont val="Arial Narrow"/>
        <family val="2"/>
      </rPr>
      <t xml:space="preserve">amb el seu creixement des del moment de la plantació o regeneració natural fins que s’aplica la primera intervenció. </t>
    </r>
  </si>
  <si>
    <t>Espècie a plantar / 
a regenerar de forma natural</t>
  </si>
  <si>
    <t>Any de plantació /
regeneració</t>
  </si>
  <si>
    <r>
      <rPr>
        <b/>
        <sz val="10"/>
        <rFont val="Arial Narrow"/>
        <family val="2"/>
      </rPr>
      <t>Aclariment:</t>
    </r>
    <r>
      <rPr>
        <sz val="10"/>
        <rFont val="Arial Narrow"/>
        <family val="2"/>
        <charset val="1"/>
      </rPr>
      <t xml:space="preserve">
1. Indicar el número de peus a extreure de cada espècie amb la primera intervenció a aplicar.
2. Indicar el destí de cadascuna de les restes de tallada de les fracciones aèries de biomassa (fulles i branques &lt;2 cm, branques &gt;2 cm i tronc), el qual podrà ser crema, descomposició (en cas que es trituri i es mantingui en la parcel·la) o obtenció de producte.</t>
    </r>
  </si>
  <si>
    <r>
      <rPr>
        <b/>
        <sz val="10"/>
        <rFont val="Arial Narrow"/>
        <family val="2"/>
      </rPr>
      <t>Aclariment:</t>
    </r>
    <r>
      <rPr>
        <sz val="10"/>
        <rFont val="Arial Narrow"/>
        <family val="2"/>
        <charset val="1"/>
      </rPr>
      <t xml:space="preserve">
1. Indicar els tipus de tractaments/treballs que s'aplicaran a cadascun dels rodals i que suposaran unes emissions de gasos d'efecte d'hiveracle. 
2. Indicar la quantitat, com per exemple hectàries, de cadascun dels trectaments/treballs realitzats.</t>
    </r>
  </si>
  <si>
    <t>Versió 2026.1 de la Calculadora balear de les absorcions de carboni en repoblacions forestals (5 de febrer de 2026).</t>
  </si>
  <si>
    <r>
      <t>Càpsula 2.1: Emissions de CO</t>
    </r>
    <r>
      <rPr>
        <b/>
        <vertAlign val="subscript"/>
        <sz val="14"/>
        <rFont val="Arial Narrow"/>
        <family val="2"/>
      </rPr>
      <t>2</t>
    </r>
    <r>
      <rPr>
        <b/>
        <sz val="14"/>
        <rFont val="Arial Narrow"/>
        <family val="2"/>
      </rPr>
      <t xml:space="preserve"> per descomposició i crema de restes de tallada i arrels mortes</t>
    </r>
  </si>
  <si>
    <r>
      <t>Càpsula 2.3: Emissions de CH</t>
    </r>
    <r>
      <rPr>
        <b/>
        <vertAlign val="subscript"/>
        <sz val="14"/>
        <rFont val="Arial Narrow"/>
        <family val="2"/>
      </rPr>
      <t>4</t>
    </r>
    <r>
      <rPr>
        <b/>
        <sz val="14"/>
        <rFont val="Arial Narrow"/>
        <family val="2"/>
      </rPr>
      <t xml:space="preserve"> i N</t>
    </r>
    <r>
      <rPr>
        <b/>
        <vertAlign val="subscript"/>
        <sz val="14"/>
        <rFont val="Arial Narrow"/>
        <family val="2"/>
      </rPr>
      <t>2</t>
    </r>
    <r>
      <rPr>
        <b/>
        <sz val="14"/>
        <rFont val="Arial Narrow"/>
        <family val="2"/>
      </rPr>
      <t>O per crema de restes de tallada</t>
    </r>
  </si>
  <si>
    <t xml:space="preserve">A partir del dia 1 de gener de 2022 entra en vigor el Decret 48/2021, de 13 de desembre, regulador del Registre balear de petjada de carboni. 
Els subjectes indicats en l’article 2.1 del Decret 48/2021 estan obligats a inscriure en la secció 2, en cas que en tenguin, els projectes d’absorció o de reducció de diòxid de carboni que siguin de la seva titularitat i que estiguin situats al territori de les Illes Balears. En canvi, inscriure aquests projectes és voluntari per als subjectes indicats en l’article 2.5 del Decret 48/2021.
D'acord amb l’article 13.9 del Decret 48/2021, la conselleria competent en matèria de canvi climàtic ha d’establir, mitjançant una resolució en el Butlletí Oficial de les Illes Balears, les metodologies de càlcul de les absorcions de CO2 generades pels projectes i s’hi ha de determinar els factors d’absorció que s’han d’aplicar.
En data 18 d'octubre de 2025 es publica al Butlletí Oficial de les Illes Balears la Resolució del conseller d’Empresa, Autònoms i Energia, a proposta del director general d’Economia Circular, Transició Energètica i Canvi Climàtic, per la qual s’aprova la «Metodologia de càlcul de les absorcions de carboni en les repoblacions forestals i els factors d’absorció relacionats dins el marc dels projectes de compensació del Registre balear de petjada de carboni» (BOIB núm. 138, de 18 d'octubre de 2025). 
Per aquest motiu, es posa a disposició de l’usuari l’eina CALCULADORA DE LES ABSORCIONS DE CARBONI EN REPOBLACIONS FORESTALS (PLANTACIONS I ACTUACIONS PER GARANTIR LA REGENERACIÓ NATURAL), dissenyada per calcular les absorcions ex ante d'aquest tipus de projectes d'acord amb la metodologia aprovada per resolució. 
</t>
  </si>
  <si>
    <r>
      <t>2.2. Càpsula 2.1: Emissions de CO</t>
    </r>
    <r>
      <rPr>
        <b/>
        <vertAlign val="subscript"/>
        <sz val="11"/>
        <color theme="9" tint="-0.249977111117893"/>
        <rFont val="Arial Narrow"/>
        <family val="2"/>
      </rPr>
      <t>2</t>
    </r>
    <r>
      <rPr>
        <b/>
        <sz val="11"/>
        <color theme="9" tint="-0.249977111117893"/>
        <rFont val="Arial Narrow"/>
        <family val="2"/>
      </rPr>
      <t xml:space="preserve"> per descomposició i crema</t>
    </r>
  </si>
  <si>
    <r>
      <t>2.4. Càpsula 2.3: Emissions de CH</t>
    </r>
    <r>
      <rPr>
        <b/>
        <vertAlign val="subscript"/>
        <sz val="11"/>
        <color theme="9" tint="-0.249977111117893"/>
        <rFont val="Arial Narrow"/>
        <family val="2"/>
      </rPr>
      <t>4</t>
    </r>
    <r>
      <rPr>
        <b/>
        <sz val="11"/>
        <color theme="9" tint="-0.249977111117893"/>
        <rFont val="Arial Narrow"/>
        <family val="2"/>
      </rPr>
      <t xml:space="preserve"> i N</t>
    </r>
    <r>
      <rPr>
        <b/>
        <vertAlign val="subscript"/>
        <sz val="11"/>
        <color theme="9" tint="-0.249977111117893"/>
        <rFont val="Arial Narrow"/>
        <family val="2"/>
      </rPr>
      <t>2</t>
    </r>
    <r>
      <rPr>
        <b/>
        <sz val="11"/>
        <color theme="9" tint="-0.249977111117893"/>
        <rFont val="Arial Narrow"/>
        <family val="2"/>
      </rPr>
      <t>O per crema</t>
    </r>
  </si>
  <si>
    <r>
      <t xml:space="preserve">Els projectes d'absorció basats en repoblacions forestals consistiran, generalment, en fer </t>
    </r>
    <r>
      <rPr>
        <b/>
        <sz val="11"/>
        <color rgb="FF000000"/>
        <rFont val="Arial Narrow"/>
        <family val="2"/>
      </rPr>
      <t>replantacions o</t>
    </r>
    <r>
      <rPr>
        <sz val="11"/>
        <color rgb="FF000000"/>
        <rFont val="Arial Narrow"/>
        <family val="2"/>
      </rPr>
      <t xml:space="preserve"> en portar a terme </t>
    </r>
    <r>
      <rPr>
        <b/>
        <sz val="11"/>
        <color rgb="FF000000"/>
        <rFont val="Arial Narrow"/>
        <family val="2"/>
      </rPr>
      <t>actuacions per garantir la regeneració natural de zones degradades o afectades per pertorbacions</t>
    </r>
    <r>
      <rPr>
        <sz val="11"/>
        <color rgb="FF000000"/>
        <rFont val="Arial Narrow"/>
        <family val="2"/>
      </rPr>
      <t xml:space="preserve"> que han quedat desproveïdes de vegetació arbòria. 
El resultat del balanç d'aplicar aquesta calculadora fa referència a les absorcions que es preveu que generi el projecte al llarg dels anys de la seva vigència. Les estimacions es faran a nivell de rodal, entenent un rodal com una unitat homogènia de gestió. Per aquest tipus de projectes, els </t>
    </r>
    <r>
      <rPr>
        <b/>
        <sz val="11"/>
        <color rgb="FF000000"/>
        <rFont val="Arial Narrow"/>
        <family val="2"/>
      </rPr>
      <t>anys de vigència</t>
    </r>
    <r>
      <rPr>
        <sz val="11"/>
        <color rgb="FF000000"/>
        <rFont val="Arial Narrow"/>
        <family val="2"/>
      </rPr>
      <t xml:space="preserve"> equivaldran al </t>
    </r>
    <r>
      <rPr>
        <b/>
        <sz val="11"/>
        <color rgb="FF000000"/>
        <rFont val="Arial Narrow"/>
        <family val="2"/>
      </rPr>
      <t>període comprès entre la plantació o les actuacions per garantir la regeneració natural i l’aplicació de la primera intervenció</t>
    </r>
    <r>
      <rPr>
        <sz val="11"/>
        <color rgb="FF000000"/>
        <rFont val="Arial Narrow"/>
        <family val="2"/>
      </rPr>
      <t xml:space="preserve"> que la massa requereixi (als 10-20 anys). La primera intervenció, a banda de complir amb qualsevol objectiu específic que se li atribueixi (absorció de carboni, producció de fusta, etc.), ha de garantir una massa resistent als incendis forestals a fi d’assegurar la seva persistència. A més, </t>
    </r>
    <r>
      <rPr>
        <b/>
        <sz val="11"/>
        <color rgb="FF000000"/>
        <rFont val="Arial Narrow"/>
        <family val="2"/>
      </rPr>
      <t>es considera que l’escenari de línea base no suposa emissions ni absorcions de CO</t>
    </r>
    <r>
      <rPr>
        <b/>
        <vertAlign val="subscript"/>
        <sz val="11"/>
        <color rgb="FF000000"/>
        <rFont val="Arial Narrow"/>
        <family val="2"/>
      </rPr>
      <t>2</t>
    </r>
    <r>
      <rPr>
        <sz val="11"/>
        <color rgb="FF000000"/>
        <rFont val="Arial Narrow"/>
        <family val="2"/>
      </rPr>
      <t>, ja que es tracta de zones degradades o afectades per pertorbacions desproveïdes de vegetació arbòria i que, en cas que hi hagi qualque exemplar, continuarà fixant igualment carboni en ambdós escenaris.</t>
    </r>
  </si>
  <si>
    <r>
      <rPr>
        <b/>
        <sz val="11"/>
        <rFont val="Arial Narrow"/>
        <family val="2"/>
      </rPr>
      <t>Aclariment:</t>
    </r>
    <r>
      <rPr>
        <sz val="11"/>
        <rFont val="Arial Narrow"/>
        <family val="2"/>
      </rPr>
      <t xml:space="preserve">
1. Indicar el codi identificador de cadascun dels rodals d'actuació que inclou el projecte. Per exemple: 1a.
2. Indicar la referència cadastral (codi alfanumèric compost per 20 caràcters) en la qual s'ubica el rodal d'actuació.
3. Indicar la superfície del rodal sobre la qual s'actua (no la superfície del rodal). La unitat són les hectàries. 
4. Indicar l'any al qual es farà la plantació o es portaran a terme actuacions per assegurar la regeneració natural de la massa (com poden ser tancament d'exclusió d'herbívors). 
</t>
    </r>
  </si>
  <si>
    <r>
      <t xml:space="preserve">                                           CÀPSULA 2.3: EMISSIONS DE CH</t>
    </r>
    <r>
      <rPr>
        <b/>
        <vertAlign val="subscript"/>
        <sz val="17"/>
        <color rgb="FFFFFFFF"/>
        <rFont val="Arial Narrow"/>
        <family val="2"/>
      </rPr>
      <t>4</t>
    </r>
    <r>
      <rPr>
        <b/>
        <sz val="17"/>
        <color rgb="FFFFFFFF"/>
        <rFont val="Arial Narrow"/>
        <family val="2"/>
        <charset val="1"/>
      </rPr>
      <t xml:space="preserve"> I N</t>
    </r>
    <r>
      <rPr>
        <b/>
        <vertAlign val="subscript"/>
        <sz val="17"/>
        <color rgb="FFFFFFFF"/>
        <rFont val="Arial Narrow"/>
        <family val="2"/>
      </rPr>
      <t>2</t>
    </r>
    <r>
      <rPr>
        <b/>
        <sz val="17"/>
        <color rgb="FFFFFFFF"/>
        <rFont val="Arial Narrow"/>
        <family val="2"/>
        <charset val="1"/>
      </rPr>
      <t>O DERIVATS DE LA CREMA DE RESTES DE TALLADA</t>
    </r>
  </si>
  <si>
    <r>
      <t xml:space="preserve">Els </t>
    </r>
    <r>
      <rPr>
        <b/>
        <sz val="11"/>
        <color rgb="FF000000"/>
        <rFont val="Arial Narrow"/>
        <family val="2"/>
      </rPr>
      <t>reservoris de carboni</t>
    </r>
    <r>
      <rPr>
        <sz val="11"/>
        <color rgb="FF000000"/>
        <rFont val="Arial Narrow"/>
        <family val="2"/>
      </rPr>
      <t xml:space="preserve"> considerats en el marc d'aquest tipus de projectes són: 
- </t>
    </r>
    <r>
      <rPr>
        <sz val="11"/>
        <rFont val="Arial Narrow"/>
        <family val="2"/>
      </rPr>
      <t>Biomassa total de l’arbre</t>
    </r>
    <r>
      <rPr>
        <sz val="11"/>
        <color rgb="FF000000"/>
        <rFont val="Arial Narrow"/>
        <family val="2"/>
      </rPr>
      <t xml:space="preserve"> (BT) = biomassa aèria total (BAT)+ biomassa subterrània total (BST)
- Biomassa aèria total (BAT) = biomassa del tronc (Bt) + biomassa de les branques (Bb) + biomassa de les fulles (Bf)
- Biomassa subterrània total (BST) = biomassa de les arrels (Br)
- Carboni orgànic al sòl (COS) = carboni contingut en la matèria orgànica del sòl</t>
    </r>
  </si>
  <si>
    <t>Nº de peus a plantar / a regenerar naturalment</t>
  </si>
  <si>
    <r>
      <t>kg CO</t>
    </r>
    <r>
      <rPr>
        <b/>
        <vertAlign val="subscript"/>
        <sz val="11"/>
        <rFont val="Arial Narrow"/>
        <family val="2"/>
      </rPr>
      <t>2</t>
    </r>
    <r>
      <rPr>
        <b/>
        <sz val="11"/>
        <rFont val="Arial Narrow"/>
        <family val="2"/>
        <charset val="1"/>
      </rPr>
      <t>/peu</t>
    </r>
  </si>
  <si>
    <r>
      <t>kg CO</t>
    </r>
    <r>
      <rPr>
        <b/>
        <vertAlign val="subscript"/>
        <sz val="11"/>
        <rFont val="Arial Narrow"/>
        <family val="2"/>
      </rPr>
      <t>2</t>
    </r>
    <r>
      <rPr>
        <b/>
        <sz val="11"/>
        <rFont val="Arial Narrow"/>
        <family val="2"/>
        <charset val="1"/>
      </rPr>
      <t xml:space="preserve"> totals</t>
    </r>
  </si>
  <si>
    <r>
      <t xml:space="preserve">Aclariment:
</t>
    </r>
    <r>
      <rPr>
        <sz val="10"/>
        <color theme="1"/>
        <rFont val="Arial Narrow"/>
        <family val="2"/>
      </rPr>
      <t>1. Indicar les espècies a plantar o a regenerar de forma natural a cadascun dels rodals.
2. Indicar els anys de permanència del projecte (5, 10, 15, 20, 25 o 30), els quals determinaran l'any de la primera intervenció que la massa requereixi. La primera intervenció, a banda de complir amb qualsevol objectiu específic que se li atribueixi (absorció de carboni, producció de fusta, etc.), ha de garantir una massa resistent als incendis forestals per tal d'assegurar la seva persistència.
3. Indicar el número de peus de cada espècie a plantar o a regenerar de forma natural a cadascun dels rodals.</t>
    </r>
  </si>
  <si>
    <r>
      <t>CÀPSULA 2.1: EMISSIONS DE CO</t>
    </r>
    <r>
      <rPr>
        <b/>
        <vertAlign val="subscript"/>
        <sz val="17"/>
        <color rgb="FFFFFFFF"/>
        <rFont val="Arial Narrow"/>
        <family val="2"/>
      </rPr>
      <t>2</t>
    </r>
    <r>
      <rPr>
        <b/>
        <sz val="17"/>
        <color rgb="FFFFFFFF"/>
        <rFont val="Arial Narrow"/>
        <family val="2"/>
        <charset val="1"/>
      </rPr>
      <t xml:space="preserve"> PER DESCOMPOSICIÓ I CREMA DE RESTES DE TALLADA I ARRELS MORTES</t>
    </r>
  </si>
  <si>
    <r>
      <t xml:space="preserve">Aquesta càpsula de càlcul quantifica les </t>
    </r>
    <r>
      <rPr>
        <b/>
        <sz val="11"/>
        <rFont val="Arial Narrow"/>
        <family val="2"/>
        <charset val="1"/>
      </rPr>
      <t>absorcions</t>
    </r>
    <r>
      <rPr>
        <sz val="11"/>
        <rFont val="Arial Narrow"/>
        <family val="2"/>
        <charset val="1"/>
      </rPr>
      <t xml:space="preserve"> de carboni aconseguides pels arbres </t>
    </r>
    <r>
      <rPr>
        <b/>
        <sz val="11"/>
        <rFont val="Arial Narrow"/>
        <family val="2"/>
        <charset val="1"/>
      </rPr>
      <t>que es perdran per descomposició o crema de restes de tallada i arrels mortes</t>
    </r>
    <r>
      <rPr>
        <sz val="11"/>
        <rFont val="Arial Narrow"/>
        <family val="2"/>
        <charset val="1"/>
      </rPr>
      <t xml:space="preserve"> </t>
    </r>
    <r>
      <rPr>
        <b/>
        <sz val="11"/>
        <rFont val="Arial Narrow"/>
        <family val="2"/>
        <charset val="1"/>
      </rPr>
      <t xml:space="preserve">un cop aplicada la primera intervenció. </t>
    </r>
    <r>
      <rPr>
        <sz val="11"/>
        <rFont val="Arial Narrow"/>
        <family val="2"/>
        <charset val="1"/>
      </rPr>
      <t>No es tenen en compte les restes de poda dels arbres romanents, ja que segurament siguin podes baixes i es poden menysprear. 
A efectes d’aquesta metodologia, es consideren</t>
    </r>
    <r>
      <rPr>
        <b/>
        <sz val="11"/>
        <rFont val="Arial Narrow"/>
        <family val="2"/>
        <charset val="1"/>
      </rPr>
      <t xml:space="preserve"> restes de tallada de les espècies rebrotadores</t>
    </r>
    <r>
      <rPr>
        <sz val="11"/>
        <rFont val="Arial Narrow"/>
        <family val="2"/>
        <charset val="1"/>
      </rPr>
      <t xml:space="preserve"> (generalment, frondoses) les fraccions de biomassa de</t>
    </r>
    <r>
      <rPr>
        <b/>
        <sz val="11"/>
        <rFont val="Arial Narrow"/>
        <family val="2"/>
        <charset val="1"/>
      </rPr>
      <t xml:space="preserve"> branques de diàmetre inferior a 2 cm</t>
    </r>
    <r>
      <rPr>
        <sz val="11"/>
        <rFont val="Arial Narrow"/>
        <family val="2"/>
        <charset val="1"/>
      </rPr>
      <t xml:space="preserve"> (Bb &lt;2cm) </t>
    </r>
    <r>
      <rPr>
        <b/>
        <sz val="11"/>
        <rFont val="Arial Narrow"/>
        <family val="2"/>
        <charset val="1"/>
      </rPr>
      <t>i de fulles</t>
    </r>
    <r>
      <rPr>
        <sz val="11"/>
        <rFont val="Arial Narrow"/>
        <family val="2"/>
        <charset val="1"/>
      </rPr>
      <t xml:space="preserve"> (Bf) (les branques de diàmetre superior a 2 cm se solen aprofitar per a llenyes o pals), a més de considerar que</t>
    </r>
    <r>
      <rPr>
        <b/>
        <sz val="11"/>
        <rFont val="Arial Narrow"/>
        <family val="2"/>
        <charset val="1"/>
      </rPr>
      <t xml:space="preserve"> les seves arrels no moren </t>
    </r>
    <r>
      <rPr>
        <sz val="11"/>
        <rFont val="Arial Narrow"/>
        <family val="2"/>
        <charset val="1"/>
      </rPr>
      <t xml:space="preserve">i que no suposen emissions per descomposició. En canvi, es consideren </t>
    </r>
    <r>
      <rPr>
        <b/>
        <sz val="11"/>
        <rFont val="Arial Narrow"/>
        <family val="2"/>
        <charset val="1"/>
      </rPr>
      <t>restes de tallada de les espècies no rebrotadores</t>
    </r>
    <r>
      <rPr>
        <sz val="11"/>
        <rFont val="Arial Narrow"/>
        <family val="2"/>
        <charset val="1"/>
      </rPr>
      <t xml:space="preserve"> (generalment coníferes) les fraccions de biomassa de </t>
    </r>
    <r>
      <rPr>
        <b/>
        <sz val="11"/>
        <rFont val="Arial Narrow"/>
        <family val="2"/>
        <charset val="1"/>
      </rPr>
      <t>branques de diàmetre superior i inferior a 2 cm</t>
    </r>
    <r>
      <rPr>
        <sz val="11"/>
        <rFont val="Arial Narrow"/>
        <family val="2"/>
        <charset val="1"/>
      </rPr>
      <t xml:space="preserve"> (Bb &gt;2cm i Bb &lt;2cm) (no se solen aprofitar per a llenya) </t>
    </r>
    <r>
      <rPr>
        <b/>
        <sz val="11"/>
        <rFont val="Arial Narrow"/>
        <family val="2"/>
        <charset val="1"/>
      </rPr>
      <t>i de fulles (Bf)</t>
    </r>
    <r>
      <rPr>
        <sz val="11"/>
        <rFont val="Arial Narrow"/>
        <family val="2"/>
        <charset val="1"/>
      </rPr>
      <t>, a més de considerar que l</t>
    </r>
    <r>
      <rPr>
        <b/>
        <sz val="11"/>
        <rFont val="Arial Narrow"/>
        <family val="2"/>
        <charset val="1"/>
      </rPr>
      <t>es seves arrels moriran</t>
    </r>
    <r>
      <rPr>
        <sz val="11"/>
        <rFont val="Arial Narrow"/>
        <family val="2"/>
        <charset val="1"/>
      </rPr>
      <t xml:space="preserve"> i suposaran emissions per descomposició.
Així, en cas que les restes de tallada s’eliminin mitjançant </t>
    </r>
    <r>
      <rPr>
        <b/>
        <sz val="11"/>
        <rFont val="Arial Narrow"/>
        <family val="2"/>
        <charset val="1"/>
      </rPr>
      <t>crema,</t>
    </r>
    <r>
      <rPr>
        <sz val="11"/>
        <rFont val="Arial Narrow"/>
        <family val="2"/>
        <charset val="1"/>
      </rPr>
      <t xml:space="preserve"> la</t>
    </r>
    <r>
      <rPr>
        <b/>
        <sz val="11"/>
        <rFont val="Arial Narrow"/>
        <family val="2"/>
        <charset val="1"/>
      </rPr>
      <t xml:space="preserve"> totalitat del carboni</t>
    </r>
    <r>
      <rPr>
        <sz val="11"/>
        <rFont val="Arial Narrow"/>
        <family val="2"/>
        <charset val="1"/>
      </rPr>
      <t xml:space="preserve"> d’aquestes </t>
    </r>
    <r>
      <rPr>
        <b/>
        <sz val="11"/>
        <rFont val="Arial Narrow"/>
        <family val="2"/>
        <charset val="1"/>
      </rPr>
      <t>es torna emetre a l’atmosfera</t>
    </r>
    <r>
      <rPr>
        <sz val="11"/>
        <rFont val="Arial Narrow"/>
        <family val="2"/>
        <charset val="1"/>
      </rPr>
      <t>, però si es</t>
    </r>
    <r>
      <rPr>
        <b/>
        <sz val="11"/>
        <rFont val="Arial Narrow"/>
        <family val="2"/>
        <charset val="1"/>
      </rPr>
      <t xml:space="preserve"> trituren</t>
    </r>
    <r>
      <rPr>
        <sz val="11"/>
        <rFont val="Arial Narrow"/>
        <family val="2"/>
        <charset val="1"/>
      </rPr>
      <t xml:space="preserve"> i/o es mantenen a la parcel·la, Voroney et al. (1989) considera que una part d’aquest carboni s’emet durant el seu procés de descomposició, mentre que al voltant d’un </t>
    </r>
    <r>
      <rPr>
        <b/>
        <sz val="11"/>
        <rFont val="Arial Narrow"/>
        <family val="2"/>
        <charset val="1"/>
      </rPr>
      <t>20 % es fixa al sòl en forma de carboni orgànic</t>
    </r>
    <r>
      <rPr>
        <sz val="11"/>
        <rFont val="Arial Narrow"/>
        <family val="2"/>
        <charset val="1"/>
      </rPr>
      <t xml:space="preserve"> (reservori COS). El mateix ocorre amb la descomposició de les arrels que moren dels arbres sotmesos a la intervenció, que serien les de les espècies no rebrotadores, mentre que les de les espècies rebrotadores no moren i el carboni no s’emet. Per això, s’aplicarà un factor de pèrdua (Fp) d’1 en cas de crema i de 0,8 en cas de descomposició de restes de tallada i/o arrels mortes. En cas que es destini a l</t>
    </r>
    <r>
      <rPr>
        <b/>
        <sz val="11"/>
        <rFont val="Arial Narrow"/>
        <family val="2"/>
        <charset val="1"/>
      </rPr>
      <t xml:space="preserve">'obtenció d'un producte </t>
    </r>
    <r>
      <rPr>
        <sz val="11"/>
        <rFont val="Arial Narrow"/>
        <family val="2"/>
        <charset val="1"/>
      </rPr>
      <t xml:space="preserve">fuster, </t>
    </r>
    <r>
      <rPr>
        <b/>
        <sz val="11"/>
        <rFont val="Arial Narrow"/>
        <family val="2"/>
        <charset val="1"/>
      </rPr>
      <t>es tindrà en compte a la càpsula de càlcul 2.4.</t>
    </r>
  </si>
  <si>
    <t>Rebrotadora /
No rebrotadora</t>
  </si>
  <si>
    <t>Estat arrels 
post-intervenció</t>
  </si>
  <si>
    <t>Destí de fulles i 
branques &lt;2 cm</t>
  </si>
  <si>
    <t>Destí de branques &gt;2 cm</t>
  </si>
  <si>
    <t>Destí del tronc</t>
  </si>
  <si>
    <r>
      <t>Emissions arrels (kg CO</t>
    </r>
    <r>
      <rPr>
        <b/>
        <vertAlign val="subscript"/>
        <sz val="11"/>
        <rFont val="Arial Narrow"/>
        <family val="2"/>
      </rPr>
      <t>2</t>
    </r>
    <r>
      <rPr>
        <b/>
        <sz val="11"/>
        <rFont val="Arial Narrow"/>
        <family val="2"/>
        <charset val="1"/>
      </rPr>
      <t>)</t>
    </r>
  </si>
  <si>
    <r>
      <t>Emissions fulles i branques &lt;2 cm (kg CO</t>
    </r>
    <r>
      <rPr>
        <b/>
        <vertAlign val="subscript"/>
        <sz val="11"/>
        <rFont val="Arial Narrow"/>
        <family val="2"/>
      </rPr>
      <t>2</t>
    </r>
    <r>
      <rPr>
        <b/>
        <sz val="11"/>
        <rFont val="Arial Narrow"/>
        <family val="2"/>
        <charset val="1"/>
      </rPr>
      <t>)</t>
    </r>
  </si>
  <si>
    <r>
      <t>Emissions branques &gt;2 cm 
(kg CO</t>
    </r>
    <r>
      <rPr>
        <b/>
        <vertAlign val="subscript"/>
        <sz val="11"/>
        <rFont val="Arial Narrow"/>
        <family val="2"/>
      </rPr>
      <t>2</t>
    </r>
    <r>
      <rPr>
        <b/>
        <sz val="11"/>
        <rFont val="Arial Narrow"/>
        <family val="2"/>
        <charset val="1"/>
      </rPr>
      <t>)</t>
    </r>
  </si>
  <si>
    <r>
      <t>Emissions tronc (kg CO</t>
    </r>
    <r>
      <rPr>
        <b/>
        <vertAlign val="subscript"/>
        <sz val="11"/>
        <rFont val="Arial Narrow"/>
        <family val="2"/>
      </rPr>
      <t>2</t>
    </r>
    <r>
      <rPr>
        <b/>
        <sz val="11"/>
        <rFont val="Arial Narrow"/>
        <family val="2"/>
        <charset val="1"/>
      </rPr>
      <t>)</t>
    </r>
  </si>
  <si>
    <r>
      <t>Emissions totals  restes de tallada (kg CO</t>
    </r>
    <r>
      <rPr>
        <b/>
        <vertAlign val="subscript"/>
        <sz val="11"/>
        <rFont val="Arial Narrow"/>
        <family val="2"/>
      </rPr>
      <t>2</t>
    </r>
    <r>
      <rPr>
        <b/>
        <sz val="11"/>
        <rFont val="Arial Narrow"/>
        <family val="2"/>
        <charset val="1"/>
      </rPr>
      <t>)</t>
    </r>
  </si>
  <si>
    <r>
      <t>Emissions de CO</t>
    </r>
    <r>
      <rPr>
        <b/>
        <vertAlign val="subscript"/>
        <sz val="11"/>
        <rFont val="Arial Narrow"/>
        <family val="2"/>
      </rPr>
      <t>2</t>
    </r>
    <r>
      <rPr>
        <b/>
        <sz val="11"/>
        <rFont val="Arial Narrow"/>
        <family val="2"/>
        <charset val="1"/>
      </rPr>
      <t xml:space="preserve"> 
(kg CO</t>
    </r>
    <r>
      <rPr>
        <b/>
        <vertAlign val="subscript"/>
        <sz val="11"/>
        <rFont val="Arial Narrow"/>
        <family val="2"/>
      </rPr>
      <t>2</t>
    </r>
    <r>
      <rPr>
        <b/>
        <sz val="11"/>
        <rFont val="Arial Narrow"/>
        <family val="2"/>
        <charset val="1"/>
      </rPr>
      <t>)</t>
    </r>
  </si>
  <si>
    <r>
      <t>Emissions de CH</t>
    </r>
    <r>
      <rPr>
        <b/>
        <vertAlign val="subscript"/>
        <sz val="11"/>
        <rFont val="Arial Narrow"/>
        <family val="2"/>
      </rPr>
      <t>4</t>
    </r>
    <r>
      <rPr>
        <b/>
        <sz val="11"/>
        <rFont val="Arial Narrow"/>
        <family val="2"/>
        <charset val="1"/>
      </rPr>
      <t xml:space="preserve"> 
(g CH</t>
    </r>
    <r>
      <rPr>
        <b/>
        <vertAlign val="subscript"/>
        <sz val="11"/>
        <rFont val="Arial Narrow"/>
        <family val="2"/>
      </rPr>
      <t>4</t>
    </r>
    <r>
      <rPr>
        <b/>
        <sz val="11"/>
        <rFont val="Arial Narrow"/>
        <family val="2"/>
        <charset val="1"/>
      </rPr>
      <t>)</t>
    </r>
  </si>
  <si>
    <r>
      <t>Emissions de N</t>
    </r>
    <r>
      <rPr>
        <b/>
        <vertAlign val="subscript"/>
        <sz val="11"/>
        <rFont val="Arial Narrow"/>
        <family val="2"/>
      </rPr>
      <t>2</t>
    </r>
    <r>
      <rPr>
        <b/>
        <sz val="11"/>
        <rFont val="Arial Narrow"/>
        <family val="2"/>
        <charset val="1"/>
      </rPr>
      <t>O 
(g N</t>
    </r>
    <r>
      <rPr>
        <b/>
        <vertAlign val="subscript"/>
        <sz val="11"/>
        <rFont val="Arial Narrow"/>
        <family val="2"/>
      </rPr>
      <t>2</t>
    </r>
    <r>
      <rPr>
        <b/>
        <sz val="11"/>
        <rFont val="Arial Narrow"/>
        <family val="2"/>
        <charset val="1"/>
      </rPr>
      <t>O)</t>
    </r>
  </si>
  <si>
    <r>
      <t>Emissions totals
(kg CO</t>
    </r>
    <r>
      <rPr>
        <b/>
        <vertAlign val="subscript"/>
        <sz val="11"/>
        <rFont val="Arial Narrow"/>
        <family val="2"/>
      </rPr>
      <t>2</t>
    </r>
    <r>
      <rPr>
        <b/>
        <sz val="11"/>
        <rFont val="Arial Narrow"/>
        <family val="2"/>
        <charset val="1"/>
      </rPr>
      <t xml:space="preserve"> eq)</t>
    </r>
  </si>
  <si>
    <r>
      <t xml:space="preserve">Aquesta càpsula de càlcul quantifica les </t>
    </r>
    <r>
      <rPr>
        <b/>
        <sz val="11"/>
        <rFont val="Arial Narrow"/>
        <family val="2"/>
        <charset val="1"/>
      </rPr>
      <t xml:space="preserve">emissions </t>
    </r>
    <r>
      <rPr>
        <sz val="11"/>
        <rFont val="Arial Narrow"/>
        <family val="2"/>
        <charset val="1"/>
      </rPr>
      <t>de CO</t>
    </r>
    <r>
      <rPr>
        <vertAlign val="subscript"/>
        <sz val="11"/>
        <rFont val="Arial Narrow"/>
        <family val="2"/>
      </rPr>
      <t>2</t>
    </r>
    <r>
      <rPr>
        <sz val="11"/>
        <rFont val="Arial Narrow"/>
        <family val="2"/>
        <charset val="1"/>
      </rPr>
      <t xml:space="preserve"> derivades </t>
    </r>
    <r>
      <rPr>
        <b/>
        <sz val="11"/>
        <rFont val="Arial Narrow"/>
        <family val="2"/>
        <charset val="1"/>
      </rPr>
      <t>del consum de combustibles en vehicles i maquinària</t>
    </r>
    <r>
      <rPr>
        <sz val="11"/>
        <rFont val="Arial Narrow"/>
        <family val="2"/>
        <charset val="1"/>
      </rPr>
      <t xml:space="preserve"> per a l’execució dels treballs silvícoles i transport de planta o de productes a la indústria. Fa referència a les tones de CO</t>
    </r>
    <r>
      <rPr>
        <vertAlign val="subscript"/>
        <sz val="11"/>
        <rFont val="Arial Narrow"/>
        <family val="2"/>
      </rPr>
      <t xml:space="preserve">2 </t>
    </r>
    <r>
      <rPr>
        <sz val="11"/>
        <rFont val="Arial Narrow"/>
        <family val="2"/>
        <charset val="1"/>
      </rPr>
      <t>equivalents derivades, especialment, de l’emissió de N</t>
    </r>
    <r>
      <rPr>
        <vertAlign val="subscript"/>
        <sz val="11"/>
        <rFont val="Arial Narrow"/>
        <family val="2"/>
      </rPr>
      <t>2</t>
    </r>
    <r>
      <rPr>
        <sz val="11"/>
        <rFont val="Arial Narrow"/>
        <family val="2"/>
        <charset val="1"/>
      </rPr>
      <t>O, CH</t>
    </r>
    <r>
      <rPr>
        <vertAlign val="subscript"/>
        <sz val="11"/>
        <rFont val="Arial Narrow"/>
        <family val="2"/>
      </rPr>
      <t>4</t>
    </r>
    <r>
      <rPr>
        <sz val="11"/>
        <rFont val="Arial Narrow"/>
        <family val="2"/>
        <charset val="1"/>
      </rPr>
      <t xml:space="preserve"> i/o CO</t>
    </r>
    <r>
      <rPr>
        <vertAlign val="subscript"/>
        <sz val="11"/>
        <rFont val="Arial Narrow"/>
        <family val="2"/>
      </rPr>
      <t>2</t>
    </r>
    <r>
      <rPr>
        <sz val="11"/>
        <rFont val="Arial Narrow"/>
        <family val="2"/>
        <charset val="1"/>
      </rPr>
      <t xml:space="preserve">. </t>
    </r>
  </si>
  <si>
    <r>
      <t xml:space="preserve">Aquesta càpsula de càlcul quantifica les </t>
    </r>
    <r>
      <rPr>
        <b/>
        <sz val="11"/>
        <rFont val="Arial Narrow"/>
        <family val="2"/>
        <charset val="1"/>
      </rPr>
      <t>emissions de CO</t>
    </r>
    <r>
      <rPr>
        <b/>
        <vertAlign val="subscript"/>
        <sz val="11"/>
        <rFont val="Arial Narrow"/>
        <family val="2"/>
      </rPr>
      <t>2</t>
    </r>
    <r>
      <rPr>
        <sz val="11"/>
        <rFont val="Arial Narrow"/>
        <family val="2"/>
        <charset val="1"/>
      </rPr>
      <t xml:space="preserve"> equivalents derivades de l’emissió d’altres gasos d’efecte d’hivernacle (especialment N</t>
    </r>
    <r>
      <rPr>
        <vertAlign val="subscript"/>
        <sz val="11"/>
        <rFont val="Arial Narrow"/>
        <family val="2"/>
      </rPr>
      <t>2</t>
    </r>
    <r>
      <rPr>
        <sz val="11"/>
        <rFont val="Arial Narrow"/>
        <family val="2"/>
        <charset val="1"/>
      </rPr>
      <t>O i CH</t>
    </r>
    <r>
      <rPr>
        <vertAlign val="subscript"/>
        <sz val="11"/>
        <rFont val="Arial Narrow"/>
        <family val="2"/>
      </rPr>
      <t>4</t>
    </r>
    <r>
      <rPr>
        <sz val="11"/>
        <rFont val="Arial Narrow"/>
        <family val="2"/>
        <charset val="1"/>
      </rPr>
      <t xml:space="preserve">) </t>
    </r>
    <r>
      <rPr>
        <b/>
        <sz val="11"/>
        <rFont val="Arial Narrow"/>
        <family val="2"/>
        <charset val="1"/>
      </rPr>
      <t xml:space="preserve">durant la crema de restes de tallada </t>
    </r>
    <r>
      <rPr>
        <sz val="11"/>
        <rFont val="Arial Narrow"/>
        <family val="2"/>
        <charset val="1"/>
      </rPr>
      <t xml:space="preserve">(fulles, branques, etc.), en cas que s’apliqui en lloc de triturar-les. 
</t>
    </r>
  </si>
  <si>
    <r>
      <t>Emissions CH</t>
    </r>
    <r>
      <rPr>
        <b/>
        <vertAlign val="subscript"/>
        <sz val="11"/>
        <rFont val="Arial Narrow"/>
        <family val="2"/>
      </rPr>
      <t>4</t>
    </r>
    <r>
      <rPr>
        <b/>
        <sz val="11"/>
        <rFont val="Arial Narrow"/>
        <family val="2"/>
        <charset val="1"/>
      </rPr>
      <t xml:space="preserve"> crema fulles i branques &lt;2 cm (g CH</t>
    </r>
    <r>
      <rPr>
        <b/>
        <vertAlign val="subscript"/>
        <sz val="11"/>
        <rFont val="Arial Narrow"/>
        <family val="2"/>
      </rPr>
      <t>4</t>
    </r>
    <r>
      <rPr>
        <b/>
        <sz val="11"/>
        <rFont val="Arial Narrow"/>
        <family val="2"/>
        <charset val="1"/>
      </rPr>
      <t>)</t>
    </r>
  </si>
  <si>
    <r>
      <t>Emissions N</t>
    </r>
    <r>
      <rPr>
        <b/>
        <vertAlign val="subscript"/>
        <sz val="11"/>
        <rFont val="Arial Narrow"/>
        <family val="2"/>
      </rPr>
      <t>2</t>
    </r>
    <r>
      <rPr>
        <b/>
        <sz val="11"/>
        <rFont val="Arial Narrow"/>
        <family val="2"/>
        <charset val="1"/>
      </rPr>
      <t>O crema fulles i branques &lt;2 cm (g N</t>
    </r>
    <r>
      <rPr>
        <b/>
        <vertAlign val="subscript"/>
        <sz val="11"/>
        <rFont val="Arial Narrow"/>
        <family val="2"/>
      </rPr>
      <t>2</t>
    </r>
    <r>
      <rPr>
        <b/>
        <sz val="11"/>
        <rFont val="Arial Narrow"/>
        <family val="2"/>
        <charset val="1"/>
      </rPr>
      <t>O)</t>
    </r>
  </si>
  <si>
    <r>
      <t>Emissions CH</t>
    </r>
    <r>
      <rPr>
        <b/>
        <vertAlign val="subscript"/>
        <sz val="11"/>
        <rFont val="Arial Narrow"/>
        <family val="2"/>
      </rPr>
      <t>4</t>
    </r>
    <r>
      <rPr>
        <b/>
        <sz val="11"/>
        <rFont val="Arial Narrow"/>
        <family val="2"/>
        <charset val="1"/>
      </rPr>
      <t xml:space="preserve"> crema branques &gt;2 cm (g CH</t>
    </r>
    <r>
      <rPr>
        <b/>
        <vertAlign val="subscript"/>
        <sz val="11"/>
        <rFont val="Arial Narrow"/>
        <family val="2"/>
      </rPr>
      <t>4</t>
    </r>
    <r>
      <rPr>
        <b/>
        <sz val="11"/>
        <rFont val="Arial Narrow"/>
        <family val="2"/>
        <charset val="1"/>
      </rPr>
      <t>)</t>
    </r>
  </si>
  <si>
    <r>
      <t>Emissions N</t>
    </r>
    <r>
      <rPr>
        <b/>
        <vertAlign val="subscript"/>
        <sz val="11"/>
        <rFont val="Arial Narrow"/>
        <family val="2"/>
      </rPr>
      <t>2</t>
    </r>
    <r>
      <rPr>
        <b/>
        <sz val="11"/>
        <rFont val="Arial Narrow"/>
        <family val="2"/>
        <charset val="1"/>
      </rPr>
      <t>O crema branques &gt;2 cm (g N</t>
    </r>
    <r>
      <rPr>
        <b/>
        <vertAlign val="subscript"/>
        <sz val="11"/>
        <rFont val="Arial Narrow"/>
        <family val="2"/>
      </rPr>
      <t>2</t>
    </r>
    <r>
      <rPr>
        <b/>
        <sz val="11"/>
        <rFont val="Arial Narrow"/>
        <family val="2"/>
        <charset val="1"/>
      </rPr>
      <t>O)</t>
    </r>
  </si>
  <si>
    <r>
      <t>Emissions CH</t>
    </r>
    <r>
      <rPr>
        <b/>
        <vertAlign val="subscript"/>
        <sz val="11"/>
        <rFont val="Arial Narrow"/>
        <family val="2"/>
      </rPr>
      <t>4</t>
    </r>
    <r>
      <rPr>
        <b/>
        <sz val="11"/>
        <rFont val="Arial Narrow"/>
        <family val="2"/>
        <charset val="1"/>
      </rPr>
      <t xml:space="preserve"> crema tronc (g CH</t>
    </r>
    <r>
      <rPr>
        <b/>
        <vertAlign val="subscript"/>
        <sz val="11"/>
        <rFont val="Arial Narrow"/>
        <family val="2"/>
      </rPr>
      <t>4</t>
    </r>
    <r>
      <rPr>
        <b/>
        <sz val="11"/>
        <rFont val="Arial Narrow"/>
        <family val="2"/>
        <charset val="1"/>
      </rPr>
      <t>)</t>
    </r>
  </si>
  <si>
    <r>
      <t>Emissions N</t>
    </r>
    <r>
      <rPr>
        <b/>
        <vertAlign val="subscript"/>
        <sz val="11"/>
        <rFont val="Arial Narrow"/>
        <family val="2"/>
      </rPr>
      <t>2</t>
    </r>
    <r>
      <rPr>
        <b/>
        <sz val="11"/>
        <rFont val="Arial Narrow"/>
        <family val="2"/>
        <charset val="1"/>
      </rPr>
      <t>O crema tronc (g N</t>
    </r>
    <r>
      <rPr>
        <b/>
        <vertAlign val="subscript"/>
        <sz val="11"/>
        <rFont val="Arial Narrow"/>
        <family val="2"/>
      </rPr>
      <t>2</t>
    </r>
    <r>
      <rPr>
        <b/>
        <sz val="11"/>
        <rFont val="Arial Narrow"/>
        <family val="2"/>
        <charset val="1"/>
      </rPr>
      <t>O)</t>
    </r>
  </si>
  <si>
    <r>
      <t>Emissions totals  restes de tallada cremades (kg CO</t>
    </r>
    <r>
      <rPr>
        <b/>
        <vertAlign val="subscript"/>
        <sz val="11"/>
        <rFont val="Arial Narrow"/>
        <family val="2"/>
      </rPr>
      <t>2</t>
    </r>
    <r>
      <rPr>
        <b/>
        <sz val="11"/>
        <rFont val="Arial Narrow"/>
        <family val="2"/>
        <charset val="1"/>
      </rPr>
      <t>)</t>
    </r>
  </si>
  <si>
    <r>
      <rPr>
        <b/>
        <sz val="10"/>
        <rFont val="Arial Narrow"/>
        <family val="2"/>
      </rPr>
      <t>Aclariment:</t>
    </r>
    <r>
      <rPr>
        <sz val="10"/>
        <rFont val="Arial Narrow"/>
        <family val="2"/>
        <charset val="1"/>
      </rPr>
      <t xml:space="preserve">
1. Aquesta taula s'autocompletarà amb la informació introduïda a la Càpsula 2.1.</t>
    </r>
  </si>
  <si>
    <r>
      <t xml:space="preserve">Aquesta càpsula de càlcul quantifica les </t>
    </r>
    <r>
      <rPr>
        <b/>
        <sz val="11"/>
        <rFont val="Arial Narrow"/>
        <family val="2"/>
        <charset val="1"/>
      </rPr>
      <t>emissions de CO</t>
    </r>
    <r>
      <rPr>
        <b/>
        <vertAlign val="subscript"/>
        <sz val="11"/>
        <rFont val="Arial Narrow"/>
        <family val="2"/>
      </rPr>
      <t>2</t>
    </r>
    <r>
      <rPr>
        <b/>
        <sz val="11"/>
        <rFont val="Arial Narrow"/>
        <family val="2"/>
        <charset val="1"/>
      </rPr>
      <t xml:space="preserve"> derivades de productes fusters</t>
    </r>
    <r>
      <rPr>
        <sz val="11"/>
        <rFont val="Arial Narrow"/>
        <family val="2"/>
        <charset val="1"/>
      </rPr>
      <t xml:space="preserve">, la qual cosa fa referència al retorn a l’atmosfera del carboni fixat als productes si són de cicle de vida curt i no es reciclen. A afectes d’aquesta metodologia es considera el següent: 
- </t>
    </r>
    <r>
      <rPr>
        <b/>
        <sz val="11"/>
        <rFont val="Arial Narrow"/>
        <family val="2"/>
        <charset val="1"/>
      </rPr>
      <t>Productes de vida útil curta (&lt; 2 anys)</t>
    </r>
    <r>
      <rPr>
        <sz val="11"/>
        <rFont val="Arial Narrow"/>
        <family val="2"/>
        <charset val="1"/>
      </rPr>
      <t xml:space="preserve"> (P&lt; 2 anys): es refereix a biocombustibles, com pèl·let o estella, i es considera un retorn al’atmosfera del </t>
    </r>
    <r>
      <rPr>
        <b/>
        <sz val="11"/>
        <rFont val="Arial Narrow"/>
        <family val="2"/>
        <charset val="1"/>
      </rPr>
      <t>100 % del CO</t>
    </r>
    <r>
      <rPr>
        <b/>
        <vertAlign val="subscript"/>
        <sz val="11"/>
        <rFont val="Arial Narrow"/>
        <family val="2"/>
      </rPr>
      <t>2</t>
    </r>
    <r>
      <rPr>
        <b/>
        <sz val="11"/>
        <rFont val="Arial Narrow"/>
        <family val="2"/>
        <charset val="1"/>
      </rPr>
      <t xml:space="preserve"> retingut</t>
    </r>
    <r>
      <rPr>
        <sz val="11"/>
        <rFont val="Arial Narrow"/>
        <family val="2"/>
        <charset val="1"/>
      </rPr>
      <t>.
-</t>
    </r>
    <r>
      <rPr>
        <b/>
        <sz val="11"/>
        <rFont val="Arial Narrow"/>
        <family val="2"/>
        <charset val="1"/>
      </rPr>
      <t xml:space="preserve"> Productes de vida útil mitjana (&lt; 10 anys) </t>
    </r>
    <r>
      <rPr>
        <sz val="11"/>
        <rFont val="Arial Narrow"/>
        <family val="2"/>
        <charset val="1"/>
      </rPr>
      <t xml:space="preserve">(P&lt; 10 anys): es refereix a productes com palets i embalatges, i es considera un retorn a l’atmosfera del </t>
    </r>
    <r>
      <rPr>
        <b/>
        <sz val="11"/>
        <rFont val="Arial Narrow"/>
        <family val="2"/>
        <charset val="1"/>
      </rPr>
      <t>75 % del CO</t>
    </r>
    <r>
      <rPr>
        <b/>
        <vertAlign val="subscript"/>
        <sz val="11"/>
        <rFont val="Arial Narrow"/>
        <family val="2"/>
      </rPr>
      <t>2</t>
    </r>
    <r>
      <rPr>
        <b/>
        <sz val="11"/>
        <rFont val="Arial Narrow"/>
        <family val="2"/>
        <charset val="1"/>
      </rPr>
      <t xml:space="preserve"> retingut</t>
    </r>
    <r>
      <rPr>
        <sz val="11"/>
        <rFont val="Arial Narrow"/>
        <family val="2"/>
        <charset val="1"/>
      </rPr>
      <t xml:space="preserve"> (tenint en compte la normativa de reciclatge europea).
- </t>
    </r>
    <r>
      <rPr>
        <b/>
        <sz val="11"/>
        <rFont val="Arial Narrow"/>
        <family val="2"/>
        <charset val="1"/>
      </rPr>
      <t>Productes de vida útil llarga (&gt;30 anys)</t>
    </r>
    <r>
      <rPr>
        <sz val="11"/>
        <rFont val="Arial Narrow"/>
        <family val="2"/>
        <charset val="1"/>
      </rPr>
      <t xml:space="preserve"> (P&gt;30 anys): es refereix a productes com estructures, mobiliari, travesses i pals, i es considera un retorn a l’atmosfera del </t>
    </r>
    <r>
      <rPr>
        <b/>
        <sz val="11"/>
        <rFont val="Arial Narrow"/>
        <family val="2"/>
        <charset val="1"/>
      </rPr>
      <t>0 % del CO</t>
    </r>
    <r>
      <rPr>
        <b/>
        <vertAlign val="subscript"/>
        <sz val="11"/>
        <rFont val="Arial Narrow"/>
        <family val="2"/>
      </rPr>
      <t>2</t>
    </r>
    <r>
      <rPr>
        <b/>
        <sz val="11"/>
        <rFont val="Arial Narrow"/>
        <family val="2"/>
        <charset val="1"/>
      </rPr>
      <t xml:space="preserve"> retingut</t>
    </r>
    <r>
      <rPr>
        <sz val="11"/>
        <rFont val="Arial Narrow"/>
        <family val="2"/>
        <charset val="1"/>
      </rPr>
      <t xml:space="preserve">. 
</t>
    </r>
  </si>
  <si>
    <r>
      <t>Emissions productes fulles i branques &lt;2 cm (kg CO</t>
    </r>
    <r>
      <rPr>
        <b/>
        <vertAlign val="subscript"/>
        <sz val="11"/>
        <rFont val="Arial Narrow"/>
        <family val="2"/>
      </rPr>
      <t>2</t>
    </r>
    <r>
      <rPr>
        <b/>
        <sz val="11"/>
        <rFont val="Arial Narrow"/>
        <family val="2"/>
        <charset val="1"/>
      </rPr>
      <t>)</t>
    </r>
  </si>
  <si>
    <r>
      <t>Emissions productes branques &gt;2 cm (kg CO</t>
    </r>
    <r>
      <rPr>
        <b/>
        <vertAlign val="subscript"/>
        <sz val="11"/>
        <rFont val="Arial Narrow"/>
        <family val="2"/>
      </rPr>
      <t>2</t>
    </r>
    <r>
      <rPr>
        <b/>
        <sz val="11"/>
        <rFont val="Arial Narrow"/>
        <family val="2"/>
        <charset val="1"/>
      </rPr>
      <t>)</t>
    </r>
  </si>
  <si>
    <r>
      <t>Emissions productes tronc 
(kg CO</t>
    </r>
    <r>
      <rPr>
        <b/>
        <vertAlign val="subscript"/>
        <sz val="11"/>
        <rFont val="Arial Narrow"/>
        <family val="2"/>
      </rPr>
      <t>2</t>
    </r>
    <r>
      <rPr>
        <b/>
        <sz val="11"/>
        <rFont val="Arial Narrow"/>
        <family val="2"/>
        <charset val="1"/>
      </rPr>
      <t>)</t>
    </r>
  </si>
  <si>
    <r>
      <t>Emissions totals productes (kg CO</t>
    </r>
    <r>
      <rPr>
        <b/>
        <vertAlign val="subscript"/>
        <sz val="11"/>
        <rFont val="Arial Narrow"/>
        <family val="2"/>
      </rPr>
      <t>2</t>
    </r>
    <r>
      <rPr>
        <b/>
        <sz val="11"/>
        <rFont val="Arial Narrow"/>
        <family val="2"/>
        <charset val="1"/>
      </rPr>
      <t>)</t>
    </r>
  </si>
  <si>
    <r>
      <t>Emissions CO</t>
    </r>
    <r>
      <rPr>
        <b/>
        <vertAlign val="subscript"/>
        <sz val="11"/>
        <color rgb="FF000000"/>
        <rFont val="Arial Narrow"/>
        <family val="2"/>
      </rPr>
      <t>2</t>
    </r>
    <r>
      <rPr>
        <b/>
        <sz val="11"/>
        <color rgb="FF000000"/>
        <rFont val="Arial Narrow"/>
        <family val="2"/>
        <charset val="1"/>
      </rPr>
      <t xml:space="preserve"> descomposició i crema</t>
    </r>
  </si>
  <si>
    <r>
      <t>Emissions CH</t>
    </r>
    <r>
      <rPr>
        <b/>
        <vertAlign val="subscript"/>
        <sz val="11"/>
        <color rgb="FF000000"/>
        <rFont val="Arial Narrow"/>
        <family val="2"/>
      </rPr>
      <t>4</t>
    </r>
    <r>
      <rPr>
        <b/>
        <sz val="11"/>
        <color rgb="FF000000"/>
        <rFont val="Arial Narrow"/>
        <family val="2"/>
        <charset val="1"/>
      </rPr>
      <t xml:space="preserve"> i N</t>
    </r>
    <r>
      <rPr>
        <b/>
        <vertAlign val="subscript"/>
        <sz val="11"/>
        <color rgb="FF000000"/>
        <rFont val="Arial Narrow"/>
        <family val="2"/>
      </rPr>
      <t>2</t>
    </r>
    <r>
      <rPr>
        <b/>
        <sz val="11"/>
        <color rgb="FF000000"/>
        <rFont val="Arial Narrow"/>
        <family val="2"/>
        <charset val="1"/>
      </rPr>
      <t>O per crema</t>
    </r>
  </si>
  <si>
    <r>
      <t>2.1 Emissions CO</t>
    </r>
    <r>
      <rPr>
        <vertAlign val="subscript"/>
        <sz val="11"/>
        <color theme="0"/>
        <rFont val="Arial Narrow"/>
        <family val="2"/>
        <charset val="1"/>
      </rPr>
      <t>2</t>
    </r>
    <r>
      <rPr>
        <sz val="11"/>
        <color theme="0"/>
        <rFont val="Arial Narrow"/>
        <family val="2"/>
        <charset val="1"/>
      </rPr>
      <t xml:space="preserve"> descomposició i crema</t>
    </r>
  </si>
  <si>
    <r>
      <t>2.3 Emissions CH</t>
    </r>
    <r>
      <rPr>
        <vertAlign val="subscript"/>
        <sz val="10"/>
        <color theme="0"/>
        <rFont val="Arial Narrow"/>
        <family val="2"/>
        <charset val="1"/>
      </rPr>
      <t>4</t>
    </r>
    <r>
      <rPr>
        <sz val="10"/>
        <color theme="0"/>
        <rFont val="Arial Narrow"/>
        <family val="2"/>
        <charset val="1"/>
      </rPr>
      <t xml:space="preserve"> i N</t>
    </r>
    <r>
      <rPr>
        <vertAlign val="subscript"/>
        <sz val="10"/>
        <color theme="0"/>
        <rFont val="Arial Narrow"/>
        <family val="2"/>
        <charset val="1"/>
      </rPr>
      <t>2</t>
    </r>
    <r>
      <rPr>
        <sz val="10"/>
        <color theme="0"/>
        <rFont val="Arial Narrow"/>
        <family val="2"/>
        <charset val="1"/>
      </rPr>
      <t>O per crema</t>
    </r>
  </si>
  <si>
    <r>
      <rPr>
        <b/>
        <sz val="10"/>
        <rFont val="Arial Narrow"/>
        <family val="2"/>
      </rPr>
      <t>Aclariment:</t>
    </r>
    <r>
      <rPr>
        <sz val="10"/>
        <rFont val="Arial Narrow"/>
        <family val="2"/>
        <charset val="1"/>
      </rPr>
      <t xml:space="preserve">
1. Indicar, per les diferents fraccions de biomassa aèria, si s'obté producte i, en cas de què se n'obtingui, si són de vida útil curta, mitjana o llarga. Ha d'anar en consonància amb el destí de les diferents fraccions de biomassa que s'han indicat a la Càpsula 2.1 </t>
    </r>
  </si>
</sst>
</file>

<file path=xl/styles.xml><?xml version="1.0" encoding="utf-8"?>
<styleSheet xmlns="http://schemas.openxmlformats.org/spreadsheetml/2006/main">
  <numFmts count="6">
    <numFmt numFmtId="164" formatCode="* #,##0.00&quot;    &quot;;\-* #,##0.00&quot;    &quot;;* \-#&quot;    &quot;;@\ "/>
    <numFmt numFmtId="165" formatCode="#,##0.0"/>
    <numFmt numFmtId="166" formatCode="0.000"/>
    <numFmt numFmtId="167" formatCode="#,##0.0000"/>
    <numFmt numFmtId="168" formatCode="0.00000"/>
    <numFmt numFmtId="169" formatCode="0.0000000"/>
  </numFmts>
  <fonts count="79">
    <font>
      <sz val="11"/>
      <color rgb="FF000000"/>
      <name val="Calibri"/>
      <family val="2"/>
      <charset val="1"/>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sz val="10"/>
      <name val="Arial Narrow"/>
      <family val="2"/>
      <charset val="1"/>
    </font>
    <font>
      <b/>
      <sz val="11"/>
      <name val="Arial Narrow"/>
      <family val="2"/>
      <charset val="1"/>
    </font>
    <font>
      <b/>
      <sz val="12"/>
      <color rgb="FFFFFFFF"/>
      <name val="Arial Narrow"/>
      <family val="2"/>
      <charset val="1"/>
    </font>
    <font>
      <sz val="11"/>
      <color rgb="FFFF0000"/>
      <name val="Calibri"/>
      <family val="2"/>
      <charset val="1"/>
    </font>
    <font>
      <sz val="10"/>
      <color rgb="FF000000"/>
      <name val="Arial Narrow"/>
      <family val="2"/>
      <charset val="1"/>
    </font>
    <font>
      <b/>
      <sz val="12"/>
      <color rgb="FF0066CC"/>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b/>
      <sz val="11"/>
      <color rgb="FFFF0000"/>
      <name val="Arial Narrow"/>
      <family val="2"/>
      <charset val="1"/>
    </font>
    <font>
      <sz val="11"/>
      <name val="Arial Narrow"/>
      <family val="2"/>
      <charset val="1"/>
    </font>
    <font>
      <sz val="11"/>
      <color rgb="FFFF0000"/>
      <name val="Arial Narrow"/>
      <family val="2"/>
      <charset val="1"/>
    </font>
    <font>
      <b/>
      <sz val="11"/>
      <color rgb="FFCCFFFF"/>
      <name val="Arial Narrow"/>
      <family val="2"/>
      <charset val="1"/>
    </font>
    <font>
      <b/>
      <i/>
      <sz val="13"/>
      <color rgb="FF0070C0"/>
      <name val="Arial Narrow"/>
      <family val="2"/>
      <charset val="1"/>
    </font>
    <font>
      <b/>
      <sz val="10"/>
      <color rgb="FF808080"/>
      <name val="Arial Narrow"/>
      <family val="2"/>
      <charset val="1"/>
    </font>
    <font>
      <sz val="9"/>
      <color rgb="FF1F497D"/>
      <name val="Arial Narrow"/>
      <family val="2"/>
      <charset val="1"/>
    </font>
    <font>
      <sz val="11"/>
      <color rgb="FF000000"/>
      <name val="Calibri"/>
      <family val="2"/>
      <charset val="1"/>
    </font>
    <font>
      <sz val="11"/>
      <color rgb="FF000000"/>
      <name val="Arial Narrow"/>
      <family val="2"/>
    </font>
    <font>
      <sz val="10"/>
      <name val="Arial"/>
      <family val="2"/>
    </font>
    <font>
      <b/>
      <sz val="11"/>
      <color rgb="FF000000"/>
      <name val="Arial Narrow"/>
      <family val="2"/>
    </font>
    <font>
      <b/>
      <u/>
      <sz val="11"/>
      <color rgb="FF000000"/>
      <name val="Arial Narrow"/>
      <family val="2"/>
    </font>
    <font>
      <b/>
      <sz val="11"/>
      <color rgb="FF000000"/>
      <name val="Calibri"/>
      <family val="2"/>
    </font>
    <font>
      <b/>
      <sz val="10"/>
      <color theme="1"/>
      <name val="Arial Narrow"/>
      <family val="2"/>
      <charset val="1"/>
    </font>
    <font>
      <b/>
      <sz val="11"/>
      <color theme="1"/>
      <name val="Arial Narrow"/>
      <family val="2"/>
      <charset val="1"/>
    </font>
    <font>
      <sz val="11"/>
      <color rgb="FF1F497D"/>
      <name val="Arial Narrow"/>
      <family val="2"/>
    </font>
    <font>
      <sz val="10"/>
      <name val="Arial Narrow"/>
      <family val="2"/>
    </font>
    <font>
      <b/>
      <sz val="11"/>
      <color rgb="FFFF0000"/>
      <name val="Calibri"/>
      <family val="2"/>
    </font>
    <font>
      <sz val="11"/>
      <color rgb="FF000000"/>
      <name val="Calibri"/>
      <family val="2"/>
    </font>
    <font>
      <b/>
      <sz val="17"/>
      <color rgb="FFFFFFFF"/>
      <name val="Arial Narrow"/>
      <family val="2"/>
    </font>
    <font>
      <b/>
      <sz val="10"/>
      <name val="Arial Narrow"/>
      <family val="2"/>
    </font>
    <font>
      <sz val="11"/>
      <color theme="0"/>
      <name val="Arial Narrow"/>
      <family val="2"/>
      <charset val="1"/>
    </font>
    <font>
      <sz val="10"/>
      <color theme="0"/>
      <name val="Arial Narrow"/>
      <family val="2"/>
      <charset val="1"/>
    </font>
    <font>
      <sz val="10"/>
      <color theme="1"/>
      <name val="Arial Narrow"/>
      <family val="2"/>
    </font>
    <font>
      <sz val="12"/>
      <color rgb="FF1F497D"/>
      <name val="Arial Narrow"/>
      <family val="2"/>
    </font>
    <font>
      <sz val="11"/>
      <name val="Arial Narrow"/>
      <family val="2"/>
    </font>
    <font>
      <b/>
      <sz val="18"/>
      <color rgb="FF000000"/>
      <name val="Arial Narrow"/>
      <family val="2"/>
    </font>
    <font>
      <b/>
      <sz val="14"/>
      <color rgb="FF0066CC"/>
      <name val="Arial Narrow"/>
      <family val="2"/>
    </font>
    <font>
      <sz val="14"/>
      <color rgb="FF000000"/>
      <name val="Arial Narrow"/>
      <family val="2"/>
    </font>
    <font>
      <b/>
      <sz val="17"/>
      <color rgb="FFFFFFFF"/>
      <name val="Arial Narrow"/>
      <family val="2"/>
      <charset val="1"/>
    </font>
    <font>
      <b/>
      <sz val="11"/>
      <name val="Arial Narrow"/>
      <family val="2"/>
    </font>
    <font>
      <sz val="11"/>
      <color theme="1"/>
      <name val="Arial Narrow"/>
      <family val="2"/>
    </font>
    <font>
      <b/>
      <sz val="11"/>
      <color theme="1"/>
      <name val="Arial Narrow"/>
      <family val="2"/>
    </font>
    <font>
      <b/>
      <i/>
      <sz val="11"/>
      <color rgb="FF0070C0"/>
      <name val="Arial Narrow"/>
      <family val="2"/>
      <charset val="1"/>
    </font>
    <font>
      <b/>
      <vertAlign val="subscript"/>
      <sz val="11"/>
      <color rgb="FF000000"/>
      <name val="Arial Narrow"/>
      <family val="2"/>
      <charset val="1"/>
    </font>
    <font>
      <b/>
      <sz val="11"/>
      <color theme="9" tint="-0.249977111117893"/>
      <name val="Arial Narrow"/>
      <family val="2"/>
    </font>
    <font>
      <b/>
      <sz val="14"/>
      <name val="Arial Narrow"/>
      <family val="2"/>
    </font>
    <font>
      <sz val="14"/>
      <name val="Arial Narrow"/>
      <family val="2"/>
      <charset val="1"/>
    </font>
    <font>
      <b/>
      <sz val="14"/>
      <name val="Arial Narrow"/>
      <family val="2"/>
      <charset val="1"/>
    </font>
    <font>
      <b/>
      <vertAlign val="subscript"/>
      <sz val="14"/>
      <name val="Arial Narrow"/>
      <family val="2"/>
    </font>
    <font>
      <b/>
      <vertAlign val="subscript"/>
      <sz val="11"/>
      <color theme="9" tint="-0.249977111117893"/>
      <name val="Arial Narrow"/>
      <family val="2"/>
    </font>
    <font>
      <b/>
      <vertAlign val="subscript"/>
      <sz val="11"/>
      <color rgb="FF000000"/>
      <name val="Arial Narrow"/>
      <family val="2"/>
    </font>
    <font>
      <b/>
      <vertAlign val="subscript"/>
      <sz val="17"/>
      <color rgb="FFFFFFFF"/>
      <name val="Arial Narrow"/>
      <family val="2"/>
    </font>
    <font>
      <b/>
      <vertAlign val="subscript"/>
      <sz val="11"/>
      <name val="Arial Narrow"/>
      <family val="2"/>
    </font>
    <font>
      <vertAlign val="subscript"/>
      <sz val="11"/>
      <name val="Arial Narrow"/>
      <family val="2"/>
    </font>
    <font>
      <vertAlign val="subscript"/>
      <sz val="11"/>
      <color theme="0"/>
      <name val="Arial Narrow"/>
      <family val="2"/>
      <charset val="1"/>
    </font>
    <font>
      <vertAlign val="subscript"/>
      <sz val="10"/>
      <color theme="0"/>
      <name val="Arial Narrow"/>
      <family val="2"/>
      <charset val="1"/>
    </font>
  </fonts>
  <fills count="23">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solid">
        <fgColor rgb="FFDEDCE6"/>
        <bgColor rgb="FFF2F2F2"/>
      </patternFill>
    </fill>
    <fill>
      <patternFill patternType="solid">
        <fgColor theme="0"/>
        <bgColor rgb="FFF2F2F2"/>
      </patternFill>
    </fill>
    <fill>
      <patternFill patternType="solid">
        <fgColor rgb="FFFFFF00"/>
        <bgColor indexed="64"/>
      </patternFill>
    </fill>
    <fill>
      <patternFill patternType="solid">
        <fgColor theme="0"/>
        <bgColor rgb="FFC2829E"/>
      </patternFill>
    </fill>
    <fill>
      <patternFill patternType="solid">
        <fgColor rgb="FFFFFF00"/>
        <bgColor rgb="FFF2F2F2"/>
      </patternFill>
    </fill>
    <fill>
      <patternFill patternType="solid">
        <fgColor theme="0"/>
        <bgColor indexed="64"/>
      </patternFill>
    </fill>
    <fill>
      <patternFill patternType="solid">
        <fgColor theme="0"/>
        <bgColor rgb="FF443091"/>
      </patternFill>
    </fill>
    <fill>
      <patternFill patternType="solid">
        <fgColor theme="9" tint="0.39997558519241921"/>
        <bgColor indexed="64"/>
      </patternFill>
    </fill>
    <fill>
      <patternFill patternType="solid">
        <fgColor theme="9" tint="0.59999389629810485"/>
        <bgColor indexed="64"/>
      </patternFill>
    </fill>
    <fill>
      <patternFill patternType="solid">
        <fgColor rgb="FFDEDCE6"/>
        <bgColor indexed="64"/>
      </patternFill>
    </fill>
    <fill>
      <patternFill patternType="solid">
        <fgColor rgb="FF92D050"/>
        <bgColor indexed="64"/>
      </patternFill>
    </fill>
    <fill>
      <patternFill patternType="solid">
        <fgColor theme="9" tint="0.39994506668294322"/>
        <bgColor rgb="FF55308D"/>
      </patternFill>
    </fill>
    <fill>
      <patternFill patternType="solid">
        <fgColor theme="9" tint="-0.249977111117893"/>
        <bgColor rgb="FF55308D"/>
      </patternFill>
    </fill>
    <fill>
      <patternFill patternType="solid">
        <fgColor theme="9" tint="-0.249977111117893"/>
        <bgColor rgb="FF443091"/>
      </patternFill>
    </fill>
    <fill>
      <patternFill patternType="solid">
        <fgColor theme="9" tint="0.39997558519241921"/>
        <bgColor rgb="FFBF819E"/>
      </patternFill>
    </fill>
    <fill>
      <patternFill patternType="solid">
        <fgColor theme="9" tint="0.39997558519241921"/>
        <bgColor rgb="FFC2829E"/>
      </patternFill>
    </fill>
    <fill>
      <patternFill patternType="solid">
        <fgColor theme="9" tint="0.39997558519241921"/>
        <bgColor rgb="FFF2F2F2"/>
      </patternFill>
    </fill>
    <fill>
      <patternFill patternType="solid">
        <fgColor theme="9" tint="0.39997558519241921"/>
        <bgColor rgb="FFDDDDDD"/>
      </patternFill>
    </fill>
  </fills>
  <borders count="61">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style="thin">
        <color indexed="64"/>
      </left>
      <right/>
      <top style="thin">
        <color indexed="64"/>
      </top>
      <bottom style="medium">
        <color indexed="64"/>
      </bottom>
      <diagonal/>
    </border>
    <border>
      <left style="thin">
        <color auto="1"/>
      </left>
      <right style="thin">
        <color indexed="64"/>
      </right>
      <top style="medium">
        <color indexed="64"/>
      </top>
      <bottom/>
      <diagonal/>
    </border>
  </borders>
  <cellStyleXfs count="14">
    <xf numFmtId="0" fontId="0" fillId="0" borderId="0"/>
    <xf numFmtId="0" fontId="13" fillId="0" borderId="0" applyBorder="0" applyProtection="0"/>
    <xf numFmtId="0" fontId="1" fillId="2" borderId="1" applyProtection="0"/>
    <xf numFmtId="0" fontId="2" fillId="3" borderId="1" applyProtection="0"/>
    <xf numFmtId="164" fontId="39" fillId="0" borderId="0" applyBorder="0" applyProtection="0"/>
    <xf numFmtId="164" fontId="39" fillId="0" borderId="0" applyBorder="0" applyProtection="0"/>
    <xf numFmtId="164" fontId="39" fillId="0" borderId="0" applyBorder="0" applyProtection="0"/>
    <xf numFmtId="164" fontId="39" fillId="0" borderId="0" applyBorder="0" applyProtection="0"/>
    <xf numFmtId="0" fontId="3" fillId="0" borderId="0"/>
    <xf numFmtId="0" fontId="4" fillId="0" borderId="0"/>
    <xf numFmtId="0" fontId="3" fillId="0" borderId="0"/>
    <xf numFmtId="0" fontId="4" fillId="0" borderId="0"/>
    <xf numFmtId="0" fontId="5" fillId="0" borderId="0"/>
    <xf numFmtId="0" fontId="41" fillId="0" borderId="0"/>
  </cellStyleXfs>
  <cellXfs count="440">
    <xf numFmtId="0" fontId="0" fillId="0" borderId="0" xfId="0"/>
    <xf numFmtId="0" fontId="6" fillId="4" borderId="0" xfId="0" applyFont="1" applyFill="1"/>
    <xf numFmtId="0" fontId="0" fillId="4" borderId="0" xfId="0" applyFill="1"/>
    <xf numFmtId="0" fontId="15" fillId="4" borderId="0" xfId="1" applyFont="1" applyFill="1" applyBorder="1" applyAlignment="1" applyProtection="1">
      <alignment vertical="center"/>
    </xf>
    <xf numFmtId="0" fontId="17" fillId="4" borderId="0" xfId="1" applyFont="1" applyFill="1" applyBorder="1" applyAlignment="1" applyProtection="1">
      <alignment vertical="center"/>
    </xf>
    <xf numFmtId="0" fontId="20" fillId="4" borderId="0" xfId="1" applyFont="1" applyFill="1" applyBorder="1" applyAlignment="1" applyProtection="1">
      <alignment vertical="center"/>
    </xf>
    <xf numFmtId="0" fontId="23" fillId="4" borderId="0" xfId="0" applyFont="1" applyFill="1" applyAlignment="1">
      <alignment horizontal="right"/>
    </xf>
    <xf numFmtId="0" fontId="24" fillId="4" borderId="0" xfId="0" applyFont="1" applyFill="1" applyAlignment="1">
      <alignment vertical="center" wrapText="1"/>
    </xf>
    <xf numFmtId="0" fontId="27" fillId="4" borderId="0" xfId="0" applyFont="1" applyFill="1"/>
    <xf numFmtId="0" fontId="28" fillId="4" borderId="0" xfId="0" applyFont="1" applyFill="1" applyAlignment="1">
      <alignment horizontal="left" vertical="center" indent="15"/>
    </xf>
    <xf numFmtId="0" fontId="29" fillId="4" borderId="0" xfId="0" applyFont="1" applyFill="1" applyAlignment="1">
      <alignment vertical="center" wrapText="1"/>
    </xf>
    <xf numFmtId="0" fontId="31" fillId="4" borderId="0" xfId="0" applyFont="1" applyFill="1" applyAlignment="1">
      <alignment vertical="center" wrapText="1"/>
    </xf>
    <xf numFmtId="0" fontId="20" fillId="4" borderId="0" xfId="0" applyFont="1" applyFill="1"/>
    <xf numFmtId="0" fontId="33" fillId="4" borderId="0" xfId="0" applyFont="1" applyFill="1"/>
    <xf numFmtId="0" fontId="23" fillId="4" borderId="0" xfId="0" applyFont="1" applyFill="1"/>
    <xf numFmtId="0" fontId="31" fillId="4" borderId="0" xfId="0" applyFont="1" applyFill="1" applyAlignment="1">
      <alignment horizontal="right"/>
    </xf>
    <xf numFmtId="0" fontId="30" fillId="4" borderId="0" xfId="0" applyFont="1" applyFill="1"/>
    <xf numFmtId="167" fontId="35" fillId="4" borderId="0" xfId="0" applyNumberFormat="1" applyFont="1" applyFill="1" applyAlignment="1">
      <alignment vertical="center" wrapText="1"/>
    </xf>
    <xf numFmtId="4" fontId="31" fillId="4" borderId="0" xfId="0" applyNumberFormat="1" applyFont="1" applyFill="1" applyAlignment="1">
      <alignment horizontal="right" vertical="center" wrapText="1"/>
    </xf>
    <xf numFmtId="0" fontId="36" fillId="4" borderId="0" xfId="0" applyFont="1" applyFill="1" applyAlignment="1">
      <alignment vertical="center" wrapText="1"/>
    </xf>
    <xf numFmtId="0" fontId="36" fillId="4" borderId="3" xfId="0" applyFont="1" applyFill="1" applyBorder="1" applyAlignment="1">
      <alignment vertical="center" wrapText="1"/>
    </xf>
    <xf numFmtId="0" fontId="36" fillId="4" borderId="0" xfId="0" applyFont="1" applyFill="1" applyAlignment="1">
      <alignment vertical="top" wrapText="1"/>
    </xf>
    <xf numFmtId="0" fontId="32" fillId="4" borderId="0" xfId="0" applyFont="1" applyFill="1" applyAlignment="1">
      <alignment vertical="center"/>
    </xf>
    <xf numFmtId="1" fontId="0" fillId="0" borderId="0" xfId="0" applyNumberFormat="1"/>
    <xf numFmtId="167" fontId="35" fillId="4" borderId="0" xfId="0" applyNumberFormat="1" applyFont="1" applyFill="1" applyAlignment="1">
      <alignment horizontal="right" vertical="center" wrapText="1"/>
    </xf>
    <xf numFmtId="0" fontId="20" fillId="4" borderId="0" xfId="1" applyFont="1" applyFill="1" applyBorder="1" applyProtection="1"/>
    <xf numFmtId="0" fontId="20" fillId="4" borderId="0" xfId="1" applyFont="1" applyFill="1" applyBorder="1" applyAlignment="1" applyProtection="1">
      <alignment vertical="top"/>
    </xf>
    <xf numFmtId="2" fontId="0" fillId="0" borderId="0" xfId="0" applyNumberFormat="1"/>
    <xf numFmtId="0" fontId="44" fillId="12" borderId="0" xfId="0" applyFont="1" applyFill="1"/>
    <xf numFmtId="0" fontId="0" fillId="12" borderId="0" xfId="0" applyFill="1"/>
    <xf numFmtId="0" fontId="0" fillId="0" borderId="0" xfId="0" applyFill="1"/>
    <xf numFmtId="0" fontId="0" fillId="0" borderId="25" xfId="0" applyBorder="1"/>
    <xf numFmtId="0" fontId="0" fillId="0" borderId="26" xfId="0" applyBorder="1"/>
    <xf numFmtId="0" fontId="0" fillId="0" borderId="27" xfId="0" applyBorder="1"/>
    <xf numFmtId="0" fontId="0" fillId="0" borderId="28" xfId="0" applyBorder="1"/>
    <xf numFmtId="0" fontId="0" fillId="0" borderId="0" xfId="0" applyBorder="1"/>
    <xf numFmtId="0" fontId="0" fillId="0" borderId="29" xfId="0" applyBorder="1"/>
    <xf numFmtId="0" fontId="0" fillId="13" borderId="0" xfId="0" applyFill="1" applyBorder="1"/>
    <xf numFmtId="0" fontId="0" fillId="0" borderId="30" xfId="0" applyBorder="1"/>
    <xf numFmtId="0" fontId="0" fillId="0" borderId="31" xfId="0" applyBorder="1"/>
    <xf numFmtId="2" fontId="0" fillId="0" borderId="31" xfId="0" applyNumberFormat="1" applyBorder="1"/>
    <xf numFmtId="0" fontId="0" fillId="0" borderId="32" xfId="0" applyBorder="1"/>
    <xf numFmtId="0" fontId="44" fillId="0" borderId="0" xfId="0" applyFont="1" applyFill="1"/>
    <xf numFmtId="0" fontId="50" fillId="0" borderId="0" xfId="0" applyFont="1"/>
    <xf numFmtId="0" fontId="50" fillId="0" borderId="0" xfId="0" applyFont="1" applyFill="1" applyBorder="1"/>
    <xf numFmtId="0" fontId="0" fillId="4" borderId="0" xfId="0" applyFill="1" applyProtection="1"/>
    <xf numFmtId="0" fontId="0" fillId="0" borderId="0" xfId="0" applyProtection="1"/>
    <xf numFmtId="0" fontId="6" fillId="4" borderId="0" xfId="0" applyFont="1" applyFill="1" applyProtection="1"/>
    <xf numFmtId="0" fontId="22" fillId="4" borderId="0" xfId="0" applyFont="1" applyFill="1" applyAlignment="1" applyProtection="1">
      <alignment vertical="center" wrapText="1"/>
    </xf>
    <xf numFmtId="0" fontId="21" fillId="4" borderId="0" xfId="0" applyFont="1" applyFill="1" applyProtection="1"/>
    <xf numFmtId="0" fontId="45" fillId="4" borderId="0" xfId="0" applyFont="1" applyFill="1" applyBorder="1" applyAlignment="1" applyProtection="1">
      <alignment vertical="center"/>
    </xf>
    <xf numFmtId="0" fontId="26" fillId="4" borderId="0" xfId="0" applyFont="1" applyFill="1" applyProtection="1"/>
    <xf numFmtId="0" fontId="16" fillId="4" borderId="0" xfId="0" applyFont="1" applyFill="1" applyAlignment="1" applyProtection="1">
      <alignment horizontal="center" vertical="center"/>
    </xf>
    <xf numFmtId="0" fontId="45" fillId="4" borderId="0" xfId="0" applyFont="1" applyFill="1" applyAlignment="1" applyProtection="1">
      <alignment vertical="center"/>
    </xf>
    <xf numFmtId="4" fontId="45" fillId="4" borderId="0" xfId="0" applyNumberFormat="1" applyFont="1" applyFill="1" applyAlignment="1" applyProtection="1">
      <alignment horizontal="center" vertical="center"/>
    </xf>
    <xf numFmtId="0" fontId="0" fillId="9" borderId="0" xfId="0" applyFill="1" applyProtection="1"/>
    <xf numFmtId="0" fontId="16" fillId="9" borderId="0" xfId="0" applyFont="1" applyFill="1" applyAlignment="1" applyProtection="1">
      <alignment horizontal="center" vertical="center"/>
    </xf>
    <xf numFmtId="0" fontId="0" fillId="7" borderId="0" xfId="0" applyFill="1" applyProtection="1"/>
    <xf numFmtId="0" fontId="27" fillId="4" borderId="0" xfId="0" applyFont="1" applyFill="1" applyProtection="1"/>
    <xf numFmtId="0" fontId="23" fillId="4" borderId="0" xfId="0" applyFont="1" applyFill="1" applyAlignment="1" applyProtection="1">
      <alignment horizontal="right"/>
    </xf>
    <xf numFmtId="0" fontId="31" fillId="4" borderId="0" xfId="0" applyFont="1" applyFill="1" applyAlignment="1" applyProtection="1">
      <alignment vertical="center" wrapText="1"/>
    </xf>
    <xf numFmtId="0" fontId="23" fillId="4" borderId="0" xfId="0" applyFont="1" applyFill="1" applyAlignment="1" applyProtection="1">
      <alignment horizontal="center"/>
    </xf>
    <xf numFmtId="0" fontId="0" fillId="0" borderId="32" xfId="0" applyBorder="1" applyAlignment="1">
      <alignment horizontal="center"/>
    </xf>
    <xf numFmtId="0" fontId="0" fillId="0" borderId="29" xfId="0" applyBorder="1" applyAlignment="1">
      <alignment horizontal="center"/>
    </xf>
    <xf numFmtId="166" fontId="0" fillId="0" borderId="0" xfId="0" applyNumberFormat="1" applyBorder="1"/>
    <xf numFmtId="166" fontId="0" fillId="0" borderId="29" xfId="0" applyNumberFormat="1" applyBorder="1"/>
    <xf numFmtId="166" fontId="0" fillId="0" borderId="0" xfId="0" applyNumberFormat="1" applyFill="1" applyBorder="1"/>
    <xf numFmtId="0" fontId="0" fillId="0" borderId="0" xfId="0" applyFill="1" applyBorder="1"/>
    <xf numFmtId="0" fontId="0" fillId="0" borderId="30" xfId="0" applyFill="1" applyBorder="1"/>
    <xf numFmtId="0" fontId="0" fillId="0" borderId="32" xfId="0" applyFill="1" applyBorder="1"/>
    <xf numFmtId="0" fontId="0" fillId="0" borderId="28" xfId="0" applyFill="1" applyBorder="1"/>
    <xf numFmtId="0" fontId="0" fillId="0" borderId="27" xfId="0" applyFill="1" applyBorder="1"/>
    <xf numFmtId="0" fontId="0" fillId="0" borderId="26" xfId="0" applyBorder="1" applyAlignment="1">
      <alignment horizontal="center"/>
    </xf>
    <xf numFmtId="168" fontId="0" fillId="0" borderId="0" xfId="0" applyNumberFormat="1" applyBorder="1"/>
    <xf numFmtId="168" fontId="0" fillId="7" borderId="0" xfId="0" applyNumberFormat="1" applyFill="1" applyBorder="1"/>
    <xf numFmtId="169" fontId="0" fillId="0" borderId="0" xfId="0" applyNumberFormat="1" applyBorder="1"/>
    <xf numFmtId="168" fontId="0" fillId="0" borderId="31" xfId="0" applyNumberFormat="1" applyBorder="1"/>
    <xf numFmtId="169" fontId="0" fillId="15" borderId="0" xfId="0" applyNumberFormat="1" applyFill="1" applyBorder="1"/>
    <xf numFmtId="169" fontId="0" fillId="0" borderId="31" xfId="0" applyNumberFormat="1" applyBorder="1"/>
    <xf numFmtId="0" fontId="38" fillId="4" borderId="0" xfId="0" applyFont="1" applyFill="1" applyAlignment="1">
      <alignment horizontal="left" vertical="top" wrapText="1" indent="1"/>
    </xf>
    <xf numFmtId="169" fontId="0" fillId="0" borderId="0" xfId="0" applyNumberFormat="1" applyFill="1" applyBorder="1"/>
    <xf numFmtId="0" fontId="45" fillId="4" borderId="0" xfId="0" applyFont="1" applyFill="1" applyAlignment="1" applyProtection="1">
      <alignment horizontal="center" vertical="center"/>
    </xf>
    <xf numFmtId="0" fontId="19" fillId="4" borderId="0" xfId="0" applyFont="1" applyFill="1" applyBorder="1" applyAlignment="1">
      <alignment vertical="center" wrapText="1"/>
    </xf>
    <xf numFmtId="0" fontId="18" fillId="8" borderId="0" xfId="0" applyFont="1" applyFill="1" applyBorder="1" applyAlignment="1">
      <alignment horizontal="right" vertical="center"/>
    </xf>
    <xf numFmtId="0" fontId="19" fillId="6" borderId="0" xfId="0" applyFont="1" applyFill="1" applyBorder="1" applyAlignment="1">
      <alignment vertical="center" wrapText="1"/>
    </xf>
    <xf numFmtId="0" fontId="18" fillId="8" borderId="0" xfId="0" applyFont="1" applyFill="1" applyBorder="1" applyAlignment="1">
      <alignment vertical="center"/>
    </xf>
    <xf numFmtId="0" fontId="19" fillId="4" borderId="0" xfId="0" applyFont="1" applyFill="1" applyBorder="1" applyAlignment="1">
      <alignment horizontal="center" vertical="center" wrapText="1"/>
    </xf>
    <xf numFmtId="0" fontId="18" fillId="8" borderId="0" xfId="0" applyFont="1" applyFill="1" applyBorder="1" applyAlignment="1">
      <alignment horizontal="center" vertical="center"/>
    </xf>
    <xf numFmtId="0" fontId="19" fillId="6" borderId="0" xfId="0" applyFont="1" applyFill="1" applyBorder="1" applyAlignment="1">
      <alignment horizontal="center" vertical="center" wrapText="1"/>
    </xf>
    <xf numFmtId="0" fontId="31" fillId="6" borderId="0" xfId="0" applyFont="1" applyFill="1" applyBorder="1" applyAlignment="1">
      <alignment vertical="center" wrapText="1"/>
    </xf>
    <xf numFmtId="0" fontId="31" fillId="4" borderId="0" xfId="0" applyFont="1" applyFill="1" applyBorder="1" applyAlignment="1">
      <alignment vertical="center" wrapText="1"/>
    </xf>
    <xf numFmtId="0" fontId="6" fillId="6" borderId="0" xfId="0" applyFont="1" applyFill="1"/>
    <xf numFmtId="4" fontId="35" fillId="4" borderId="0" xfId="0" applyNumberFormat="1" applyFont="1" applyFill="1" applyAlignment="1">
      <alignment horizontal="center" vertical="center" wrapText="1"/>
    </xf>
    <xf numFmtId="0" fontId="36" fillId="4" borderId="0" xfId="0" applyFont="1" applyFill="1" applyBorder="1" applyAlignment="1">
      <alignment vertical="center" wrapText="1"/>
    </xf>
    <xf numFmtId="0" fontId="54" fillId="6" borderId="0" xfId="0" applyFont="1" applyFill="1" applyBorder="1"/>
    <xf numFmtId="0" fontId="53" fillId="10" borderId="0" xfId="0" applyFont="1" applyFill="1" applyBorder="1"/>
    <xf numFmtId="0" fontId="54" fillId="10" borderId="0" xfId="0" applyFont="1" applyFill="1" applyBorder="1"/>
    <xf numFmtId="4" fontId="53" fillId="10" borderId="0" xfId="0" applyNumberFormat="1" applyFont="1" applyFill="1" applyBorder="1"/>
    <xf numFmtId="4" fontId="54" fillId="10" borderId="0" xfId="0" applyNumberFormat="1" applyFont="1" applyFill="1" applyBorder="1"/>
    <xf numFmtId="0" fontId="10" fillId="4" borderId="0" xfId="0" applyFont="1" applyFill="1" applyBorder="1" applyAlignment="1" applyProtection="1">
      <alignment vertical="center"/>
    </xf>
    <xf numFmtId="0" fontId="59" fillId="4" borderId="0" xfId="1" applyFont="1" applyFill="1" applyBorder="1" applyProtection="1"/>
    <xf numFmtId="4" fontId="6" fillId="5" borderId="22" xfId="0" applyNumberFormat="1" applyFont="1" applyFill="1" applyBorder="1" applyAlignment="1" applyProtection="1">
      <alignment horizontal="center" vertical="center"/>
      <protection locked="0"/>
    </xf>
    <xf numFmtId="1" fontId="6" fillId="5" borderId="22" xfId="0" applyNumberFormat="1" applyFont="1" applyFill="1" applyBorder="1" applyAlignment="1" applyProtection="1">
      <alignment horizontal="center" vertical="center"/>
      <protection locked="0"/>
    </xf>
    <xf numFmtId="1" fontId="6" fillId="0" borderId="22" xfId="0" applyNumberFormat="1" applyFont="1" applyFill="1" applyBorder="1" applyAlignment="1" applyProtection="1">
      <alignment horizontal="center" vertical="center"/>
    </xf>
    <xf numFmtId="3" fontId="6" fillId="5" borderId="22" xfId="0" applyNumberFormat="1" applyFont="1" applyFill="1" applyBorder="1" applyAlignment="1" applyProtection="1">
      <alignment horizontal="center" vertical="center"/>
      <protection locked="0"/>
    </xf>
    <xf numFmtId="4" fontId="6" fillId="0" borderId="22" xfId="0" applyNumberFormat="1" applyFont="1" applyFill="1" applyBorder="1" applyAlignment="1" applyProtection="1">
      <alignment horizontal="center" vertical="center"/>
    </xf>
    <xf numFmtId="1" fontId="6" fillId="5" borderId="33" xfId="0" applyNumberFormat="1" applyFont="1" applyFill="1" applyBorder="1" applyAlignment="1" applyProtection="1">
      <alignment horizontal="center" vertical="center"/>
      <protection locked="0"/>
    </xf>
    <xf numFmtId="1" fontId="6" fillId="0" borderId="33" xfId="0" applyNumberFormat="1" applyFont="1" applyFill="1" applyBorder="1" applyAlignment="1" applyProtection="1">
      <alignment horizontal="center" vertical="center"/>
    </xf>
    <xf numFmtId="3" fontId="6" fillId="5" borderId="33" xfId="0" applyNumberFormat="1" applyFont="1" applyFill="1" applyBorder="1" applyAlignment="1" applyProtection="1">
      <alignment horizontal="center" vertical="center"/>
      <protection locked="0"/>
    </xf>
    <xf numFmtId="4" fontId="6" fillId="0" borderId="33" xfId="0" applyNumberFormat="1" applyFont="1" applyFill="1" applyBorder="1" applyAlignment="1" applyProtection="1">
      <alignment horizontal="center" vertical="center"/>
    </xf>
    <xf numFmtId="1" fontId="6" fillId="5" borderId="39" xfId="0" applyNumberFormat="1" applyFont="1" applyFill="1" applyBorder="1" applyAlignment="1" applyProtection="1">
      <alignment horizontal="center" vertical="center"/>
      <protection locked="0"/>
    </xf>
    <xf numFmtId="1" fontId="6" fillId="0" borderId="39" xfId="0" applyNumberFormat="1" applyFont="1" applyFill="1" applyBorder="1" applyAlignment="1" applyProtection="1">
      <alignment horizontal="center" vertical="center"/>
    </xf>
    <xf numFmtId="3" fontId="6" fillId="5" borderId="39" xfId="0" applyNumberFormat="1" applyFont="1" applyFill="1" applyBorder="1" applyAlignment="1" applyProtection="1">
      <alignment horizontal="center" vertical="center"/>
      <protection locked="0"/>
    </xf>
    <xf numFmtId="4" fontId="6" fillId="0" borderId="39" xfId="0" applyNumberFormat="1" applyFont="1" applyFill="1" applyBorder="1" applyAlignment="1" applyProtection="1">
      <alignment horizontal="center" vertical="center"/>
    </xf>
    <xf numFmtId="4" fontId="6" fillId="0" borderId="22" xfId="0" applyNumberFormat="1" applyFont="1" applyFill="1" applyBorder="1" applyAlignment="1" applyProtection="1">
      <alignment horizontal="center" vertical="center"/>
      <protection locked="0"/>
    </xf>
    <xf numFmtId="4" fontId="6" fillId="0" borderId="33" xfId="0" applyNumberFormat="1" applyFont="1" applyFill="1" applyBorder="1" applyAlignment="1" applyProtection="1">
      <alignment horizontal="center" vertical="center"/>
      <protection locked="0"/>
    </xf>
    <xf numFmtId="4" fontId="6" fillId="5" borderId="33" xfId="0" applyNumberFormat="1" applyFont="1" applyFill="1" applyBorder="1" applyAlignment="1" applyProtection="1">
      <alignment horizontal="center" vertical="center"/>
      <protection locked="0"/>
    </xf>
    <xf numFmtId="4" fontId="6" fillId="0" borderId="39" xfId="0" applyNumberFormat="1" applyFont="1" applyFill="1" applyBorder="1" applyAlignment="1" applyProtection="1">
      <alignment horizontal="center" vertical="center"/>
      <protection locked="0"/>
    </xf>
    <xf numFmtId="4" fontId="6" fillId="5" borderId="39" xfId="0" applyNumberFormat="1" applyFont="1" applyFill="1" applyBorder="1" applyAlignment="1" applyProtection="1">
      <alignment horizontal="center" vertical="center"/>
      <protection locked="0"/>
    </xf>
    <xf numFmtId="0" fontId="33" fillId="4" borderId="22" xfId="0" applyFont="1" applyFill="1" applyBorder="1" applyAlignment="1">
      <alignment horizontal="center"/>
    </xf>
    <xf numFmtId="0" fontId="33" fillId="4" borderId="33" xfId="0" applyFont="1" applyFill="1" applyBorder="1" applyAlignment="1">
      <alignment horizontal="center"/>
    </xf>
    <xf numFmtId="0" fontId="33" fillId="4" borderId="39" xfId="0" applyFont="1" applyFill="1" applyBorder="1" applyAlignment="1">
      <alignment horizontal="center"/>
    </xf>
    <xf numFmtId="0" fontId="65" fillId="4" borderId="0" xfId="0" applyFont="1" applyFill="1" applyAlignment="1">
      <alignment vertical="center" wrapText="1"/>
    </xf>
    <xf numFmtId="4" fontId="6" fillId="4" borderId="33" xfId="0" applyNumberFormat="1" applyFont="1" applyFill="1" applyBorder="1" applyAlignment="1">
      <alignment horizontal="center" vertical="center" wrapText="1"/>
    </xf>
    <xf numFmtId="4" fontId="6" fillId="0" borderId="33" xfId="0" applyNumberFormat="1" applyFont="1" applyFill="1" applyBorder="1" applyAlignment="1">
      <alignment horizontal="center" vertical="center" wrapText="1"/>
    </xf>
    <xf numFmtId="4" fontId="19" fillId="4" borderId="0" xfId="0" applyNumberFormat="1" applyFont="1" applyFill="1" applyAlignment="1">
      <alignment horizontal="center" vertical="center" wrapText="1"/>
    </xf>
    <xf numFmtId="4" fontId="33" fillId="4" borderId="0" xfId="0" applyNumberFormat="1" applyFont="1" applyFill="1" applyAlignment="1">
      <alignment horizontal="center"/>
    </xf>
    <xf numFmtId="4" fontId="19" fillId="4" borderId="33" xfId="0" applyNumberFormat="1" applyFont="1" applyFill="1" applyBorder="1" applyAlignment="1">
      <alignment horizontal="center" vertical="center" wrapText="1"/>
    </xf>
    <xf numFmtId="4" fontId="19" fillId="4" borderId="0" xfId="0" applyNumberFormat="1" applyFont="1" applyFill="1" applyAlignment="1">
      <alignment horizontal="center" vertical="center"/>
    </xf>
    <xf numFmtId="4" fontId="6" fillId="0" borderId="23" xfId="0" applyNumberFormat="1" applyFont="1" applyFill="1" applyBorder="1" applyAlignment="1" applyProtection="1">
      <alignment horizontal="center" vertical="center"/>
    </xf>
    <xf numFmtId="4" fontId="6" fillId="0" borderId="42" xfId="0" applyNumberFormat="1" applyFont="1" applyFill="1" applyBorder="1" applyAlignment="1" applyProtection="1">
      <alignment horizontal="center" vertical="center"/>
    </xf>
    <xf numFmtId="4" fontId="6" fillId="0" borderId="40" xfId="0" applyNumberFormat="1" applyFont="1" applyFill="1" applyBorder="1" applyAlignment="1" applyProtection="1">
      <alignment horizontal="center" vertical="center"/>
    </xf>
    <xf numFmtId="0" fontId="24" fillId="4" borderId="43" xfId="0" applyFont="1" applyFill="1" applyBorder="1" applyAlignment="1" applyProtection="1">
      <alignment horizontal="center"/>
    </xf>
    <xf numFmtId="0" fontId="24" fillId="4" borderId="44" xfId="0" applyFont="1" applyFill="1" applyBorder="1" applyAlignment="1" applyProtection="1">
      <alignment horizontal="center"/>
    </xf>
    <xf numFmtId="3" fontId="24" fillId="4" borderId="44" xfId="0" applyNumberFormat="1" applyFont="1" applyFill="1" applyBorder="1" applyAlignment="1" applyProtection="1">
      <alignment horizontal="center"/>
    </xf>
    <xf numFmtId="4" fontId="24" fillId="4" borderId="44" xfId="0" applyNumberFormat="1" applyFont="1" applyFill="1" applyBorder="1" applyAlignment="1" applyProtection="1">
      <alignment horizontal="center"/>
    </xf>
    <xf numFmtId="4" fontId="24" fillId="4" borderId="45" xfId="0" applyNumberFormat="1" applyFont="1" applyFill="1" applyBorder="1" applyAlignment="1" applyProtection="1">
      <alignment horizontal="center"/>
    </xf>
    <xf numFmtId="4" fontId="33" fillId="4" borderId="58" xfId="0" applyNumberFormat="1" applyFont="1" applyFill="1" applyBorder="1" applyAlignment="1">
      <alignment horizontal="center"/>
    </xf>
    <xf numFmtId="4" fontId="33" fillId="4" borderId="22" xfId="0" applyNumberFormat="1" applyFont="1" applyFill="1" applyBorder="1" applyAlignment="1">
      <alignment horizontal="center"/>
    </xf>
    <xf numFmtId="4" fontId="33" fillId="4" borderId="23" xfId="0" applyNumberFormat="1" applyFont="1" applyFill="1" applyBorder="1" applyAlignment="1">
      <alignment horizontal="center"/>
    </xf>
    <xf numFmtId="4" fontId="33" fillId="4" borderId="34" xfId="0" applyNumberFormat="1" applyFont="1" applyFill="1" applyBorder="1" applyAlignment="1">
      <alignment horizontal="center"/>
    </xf>
    <xf numFmtId="4" fontId="33" fillId="4" borderId="33" xfId="0" applyNumberFormat="1" applyFont="1" applyFill="1" applyBorder="1" applyAlignment="1">
      <alignment horizontal="center"/>
    </xf>
    <xf numFmtId="4" fontId="33" fillId="4" borderId="42" xfId="0" applyNumberFormat="1" applyFont="1" applyFill="1" applyBorder="1" applyAlignment="1">
      <alignment horizontal="center"/>
    </xf>
    <xf numFmtId="4" fontId="33" fillId="4" borderId="59" xfId="0" applyNumberFormat="1" applyFont="1" applyFill="1" applyBorder="1" applyAlignment="1">
      <alignment horizontal="center"/>
    </xf>
    <xf numFmtId="4" fontId="33" fillId="4" borderId="39" xfId="0" applyNumberFormat="1" applyFont="1" applyFill="1" applyBorder="1" applyAlignment="1">
      <alignment horizontal="center"/>
    </xf>
    <xf numFmtId="4" fontId="33" fillId="4" borderId="40" xfId="0" applyNumberFormat="1" applyFont="1" applyFill="1" applyBorder="1" applyAlignment="1">
      <alignment horizontal="center"/>
    </xf>
    <xf numFmtId="0" fontId="19" fillId="22" borderId="33" xfId="0" applyFont="1" applyFill="1" applyBorder="1" applyAlignment="1">
      <alignment horizontal="center" vertical="center" wrapText="1"/>
    </xf>
    <xf numFmtId="0" fontId="24" fillId="20" borderId="33" xfId="0" applyFont="1" applyFill="1" applyBorder="1" applyAlignment="1">
      <alignment horizontal="center" vertical="center"/>
    </xf>
    <xf numFmtId="0" fontId="18" fillId="22" borderId="7" xfId="0" applyFont="1" applyFill="1" applyBorder="1" applyAlignment="1">
      <alignment wrapText="1"/>
    </xf>
    <xf numFmtId="0" fontId="18" fillId="22" borderId="0" xfId="0" applyFont="1" applyFill="1" applyBorder="1" applyAlignment="1">
      <alignment wrapText="1"/>
    </xf>
    <xf numFmtId="0" fontId="18" fillId="22" borderId="0" xfId="0" applyFont="1" applyFill="1" applyAlignment="1">
      <alignment horizontal="left" wrapText="1"/>
    </xf>
    <xf numFmtId="0" fontId="18" fillId="22" borderId="7" xfId="0" applyFont="1" applyFill="1" applyBorder="1" applyAlignment="1">
      <alignment horizontal="center" vertical="center" wrapText="1"/>
    </xf>
    <xf numFmtId="0" fontId="18" fillId="22" borderId="0" xfId="0" applyFont="1" applyFill="1" applyBorder="1" applyAlignment="1">
      <alignment horizontal="center" vertical="center" wrapText="1"/>
    </xf>
    <xf numFmtId="0" fontId="18" fillId="22" borderId="0" xfId="0" applyFont="1" applyFill="1" applyAlignment="1">
      <alignment horizontal="left" vertical="center" wrapText="1"/>
    </xf>
    <xf numFmtId="0" fontId="31" fillId="22" borderId="9" xfId="0" applyFont="1" applyFill="1" applyBorder="1" applyAlignment="1">
      <alignment horizontal="left" vertical="center"/>
    </xf>
    <xf numFmtId="0" fontId="31" fillId="22" borderId="10" xfId="0" applyFont="1" applyFill="1" applyBorder="1" applyAlignment="1">
      <alignment horizontal="left" vertical="center"/>
    </xf>
    <xf numFmtId="165" fontId="6" fillId="22" borderId="0" xfId="0" applyNumberFormat="1" applyFont="1" applyFill="1" applyAlignment="1">
      <alignment horizontal="right"/>
    </xf>
    <xf numFmtId="0" fontId="19" fillId="22" borderId="0" xfId="0" applyFont="1" applyFill="1" applyAlignment="1">
      <alignment horizontal="right" vertical="center"/>
    </xf>
    <xf numFmtId="0" fontId="16" fillId="22" borderId="10" xfId="0" applyFont="1" applyFill="1" applyBorder="1" applyAlignment="1">
      <alignment horizontal="left" vertical="center"/>
    </xf>
    <xf numFmtId="0" fontId="37" fillId="22" borderId="4" xfId="0" applyFont="1" applyFill="1" applyBorder="1"/>
    <xf numFmtId="0" fontId="37" fillId="22" borderId="5" xfId="0" applyFont="1" applyFill="1" applyBorder="1"/>
    <xf numFmtId="0" fontId="37" fillId="22" borderId="5" xfId="0" applyFont="1" applyFill="1" applyBorder="1" applyAlignment="1">
      <alignment horizontal="left"/>
    </xf>
    <xf numFmtId="4" fontId="37" fillId="22" borderId="5" xfId="0" applyNumberFormat="1" applyFont="1" applyFill="1" applyBorder="1"/>
    <xf numFmtId="0" fontId="37" fillId="22" borderId="5" xfId="0" applyFont="1" applyFill="1" applyBorder="1" applyAlignment="1">
      <alignment horizontal="right"/>
    </xf>
    <xf numFmtId="4" fontId="31" fillId="22" borderId="10" xfId="0" applyNumberFormat="1" applyFont="1" applyFill="1" applyBorder="1" applyAlignment="1">
      <alignment horizontal="left" vertical="center"/>
    </xf>
    <xf numFmtId="4" fontId="29" fillId="22" borderId="0" xfId="0" applyNumberFormat="1" applyFont="1" applyFill="1" applyAlignment="1">
      <alignment horizontal="center"/>
    </xf>
    <xf numFmtId="0" fontId="67" fillId="10" borderId="0" xfId="1" applyFont="1" applyFill="1" applyBorder="1" applyProtection="1"/>
    <xf numFmtId="0" fontId="8" fillId="4" borderId="0" xfId="0" applyFont="1" applyFill="1" applyAlignment="1" applyProtection="1">
      <alignment vertical="center" wrapText="1"/>
    </xf>
    <xf numFmtId="0" fontId="9" fillId="4" borderId="0" xfId="0" applyFont="1" applyFill="1" applyProtection="1"/>
    <xf numFmtId="0" fontId="58" fillId="4" borderId="0" xfId="0" applyFont="1" applyFill="1" applyAlignment="1" applyProtection="1">
      <alignment vertical="center" wrapText="1"/>
    </xf>
    <xf numFmtId="0" fontId="9" fillId="4" borderId="0" xfId="0" applyFont="1" applyFill="1" applyAlignment="1" applyProtection="1">
      <alignment vertical="center"/>
    </xf>
    <xf numFmtId="0" fontId="10" fillId="4" borderId="0" xfId="0" applyFont="1" applyFill="1" applyAlignment="1" applyProtection="1">
      <alignment vertical="center" wrapText="1"/>
    </xf>
    <xf numFmtId="0" fontId="56" fillId="4" borderId="0" xfId="0" applyFont="1" applyFill="1" applyAlignment="1" applyProtection="1">
      <alignment vertical="center" wrapText="1"/>
    </xf>
    <xf numFmtId="0" fontId="40" fillId="4" borderId="0" xfId="0" applyFont="1" applyFill="1" applyAlignment="1" applyProtection="1">
      <alignment horizontal="left"/>
    </xf>
    <xf numFmtId="165" fontId="48" fillId="5" borderId="1" xfId="0" applyNumberFormat="1" applyFont="1" applyFill="1" applyBorder="1" applyAlignment="1" applyProtection="1">
      <alignment vertical="center" wrapText="1"/>
    </xf>
    <xf numFmtId="166" fontId="48" fillId="4" borderId="1" xfId="0" applyNumberFormat="1" applyFont="1" applyFill="1" applyBorder="1" applyAlignment="1" applyProtection="1">
      <alignment horizontal="right" vertical="center" wrapText="1"/>
    </xf>
    <xf numFmtId="0" fontId="40" fillId="4" borderId="0" xfId="0" applyFont="1" applyFill="1" applyProtection="1"/>
    <xf numFmtId="0" fontId="11" fillId="4" borderId="0" xfId="0" applyFont="1" applyFill="1" applyProtection="1"/>
    <xf numFmtId="0" fontId="69" fillId="4" borderId="0" xfId="0" applyFont="1" applyFill="1" applyProtection="1"/>
    <xf numFmtId="0" fontId="70" fillId="4" borderId="0" xfId="0" applyFont="1" applyFill="1" applyProtection="1"/>
    <xf numFmtId="0" fontId="59" fillId="4" borderId="0" xfId="0" applyFont="1" applyFill="1" applyProtection="1"/>
    <xf numFmtId="0" fontId="60" fillId="4" borderId="0" xfId="0" applyFont="1" applyFill="1" applyProtection="1"/>
    <xf numFmtId="0" fontId="12" fillId="4" borderId="0" xfId="0" applyFont="1" applyFill="1" applyProtection="1"/>
    <xf numFmtId="0" fontId="14" fillId="4" borderId="0" xfId="0" applyFont="1" applyFill="1" applyProtection="1"/>
    <xf numFmtId="0" fontId="42" fillId="4" borderId="0" xfId="0" applyFont="1" applyFill="1" applyAlignment="1" applyProtection="1">
      <alignment vertical="top" wrapText="1"/>
    </xf>
    <xf numFmtId="0" fontId="40" fillId="4" borderId="0" xfId="0" applyFont="1" applyFill="1" applyAlignment="1" applyProtection="1">
      <alignment vertical="top" wrapText="1"/>
    </xf>
    <xf numFmtId="0" fontId="6" fillId="4" borderId="0" xfId="0" applyFont="1" applyFill="1" applyAlignment="1" applyProtection="1">
      <alignment vertical="top" wrapText="1"/>
    </xf>
    <xf numFmtId="0" fontId="9" fillId="11" borderId="0" xfId="0" applyFont="1" applyFill="1" applyAlignment="1" applyProtection="1">
      <alignment vertical="center"/>
    </xf>
    <xf numFmtId="0" fontId="0" fillId="4" borderId="0" xfId="0" applyFill="1" applyBorder="1" applyProtection="1"/>
    <xf numFmtId="0" fontId="6" fillId="4" borderId="0" xfId="0" applyFont="1" applyFill="1" applyBorder="1" applyProtection="1"/>
    <xf numFmtId="0" fontId="0" fillId="4" borderId="0" xfId="0" applyFill="1" applyBorder="1" applyAlignment="1" applyProtection="1">
      <alignment wrapText="1"/>
    </xf>
    <xf numFmtId="3" fontId="45" fillId="4" borderId="0" xfId="0" applyNumberFormat="1" applyFont="1" applyFill="1" applyAlignment="1" applyProtection="1">
      <alignment horizontal="center" vertical="center"/>
    </xf>
    <xf numFmtId="0" fontId="45" fillId="9" borderId="0" xfId="0" applyFont="1" applyFill="1" applyAlignment="1" applyProtection="1">
      <alignment horizontal="center" vertical="center"/>
    </xf>
    <xf numFmtId="4" fontId="6" fillId="0" borderId="37" xfId="0" applyNumberFormat="1" applyFont="1" applyFill="1" applyBorder="1" applyAlignment="1" applyProtection="1">
      <alignment horizontal="center" vertical="center"/>
    </xf>
    <xf numFmtId="4" fontId="6" fillId="6" borderId="22" xfId="0" applyNumberFormat="1" applyFont="1" applyFill="1" applyBorder="1" applyAlignment="1" applyProtection="1">
      <alignment horizontal="center" vertical="center"/>
    </xf>
    <xf numFmtId="4" fontId="6" fillId="6" borderId="33" xfId="0" applyNumberFormat="1" applyFont="1" applyFill="1" applyBorder="1" applyAlignment="1" applyProtection="1">
      <alignment horizontal="center" vertical="center"/>
    </xf>
    <xf numFmtId="4" fontId="6" fillId="6" borderId="39" xfId="0" applyNumberFormat="1" applyFont="1" applyFill="1" applyBorder="1" applyAlignment="1" applyProtection="1">
      <alignment horizontal="center" vertical="center"/>
    </xf>
    <xf numFmtId="0" fontId="33" fillId="5" borderId="22" xfId="0" applyFont="1" applyFill="1" applyBorder="1" applyAlignment="1" applyProtection="1">
      <alignment horizontal="left"/>
      <protection locked="0"/>
    </xf>
    <xf numFmtId="0" fontId="33" fillId="5" borderId="33" xfId="0" applyFont="1" applyFill="1" applyBorder="1" applyAlignment="1" applyProtection="1">
      <alignment horizontal="left"/>
      <protection locked="0"/>
    </xf>
    <xf numFmtId="0" fontId="33" fillId="5" borderId="39" xfId="0" applyFont="1" applyFill="1" applyBorder="1" applyAlignment="1" applyProtection="1">
      <alignment horizontal="left"/>
      <protection locked="0"/>
    </xf>
    <xf numFmtId="4" fontId="6" fillId="6" borderId="13" xfId="0" applyNumberFormat="1" applyFont="1" applyFill="1" applyBorder="1" applyAlignment="1" applyProtection="1">
      <alignment horizontal="center" vertical="center"/>
    </xf>
    <xf numFmtId="3" fontId="6" fillId="6" borderId="13" xfId="0" applyNumberFormat="1" applyFont="1" applyFill="1" applyBorder="1" applyAlignment="1" applyProtection="1">
      <alignment horizontal="center" vertical="center"/>
    </xf>
    <xf numFmtId="1" fontId="6" fillId="6" borderId="33" xfId="0" applyNumberFormat="1" applyFont="1" applyFill="1" applyBorder="1" applyAlignment="1" applyProtection="1">
      <alignment horizontal="center" vertical="center"/>
    </xf>
    <xf numFmtId="4" fontId="6" fillId="6" borderId="42" xfId="0" applyNumberFormat="1" applyFont="1" applyFill="1" applyBorder="1" applyAlignment="1" applyProtection="1">
      <alignment horizontal="center" vertical="center"/>
    </xf>
    <xf numFmtId="4" fontId="6" fillId="6" borderId="37" xfId="0" applyNumberFormat="1" applyFont="1" applyFill="1" applyBorder="1" applyAlignment="1" applyProtection="1">
      <alignment horizontal="center" vertical="center"/>
    </xf>
    <xf numFmtId="1" fontId="6" fillId="6" borderId="37" xfId="0" applyNumberFormat="1" applyFont="1" applyFill="1" applyBorder="1" applyAlignment="1" applyProtection="1">
      <alignment horizontal="center" vertical="center"/>
    </xf>
    <xf numFmtId="3" fontId="6" fillId="6" borderId="12" xfId="0" applyNumberFormat="1" applyFont="1" applyFill="1" applyBorder="1" applyAlignment="1" applyProtection="1">
      <alignment horizontal="center" vertical="center"/>
    </xf>
    <xf numFmtId="4" fontId="6" fillId="6" borderId="12" xfId="0" applyNumberFormat="1" applyFont="1" applyFill="1" applyBorder="1" applyAlignment="1" applyProtection="1">
      <alignment horizontal="center" vertical="center"/>
    </xf>
    <xf numFmtId="4" fontId="6" fillId="6" borderId="51" xfId="0" applyNumberFormat="1" applyFont="1" applyFill="1" applyBorder="1" applyAlignment="1" applyProtection="1">
      <alignment horizontal="center" vertical="center"/>
    </xf>
    <xf numFmtId="1" fontId="6" fillId="6" borderId="22" xfId="0" applyNumberFormat="1" applyFont="1" applyFill="1" applyBorder="1" applyAlignment="1" applyProtection="1">
      <alignment horizontal="center" vertical="center"/>
    </xf>
    <xf numFmtId="3" fontId="6" fillId="6" borderId="22" xfId="0" applyNumberFormat="1" applyFont="1" applyFill="1" applyBorder="1" applyAlignment="1" applyProtection="1">
      <alignment horizontal="center" vertical="center"/>
    </xf>
    <xf numFmtId="4" fontId="6" fillId="6" borderId="23" xfId="0" applyNumberFormat="1" applyFont="1" applyFill="1" applyBorder="1" applyAlignment="1" applyProtection="1">
      <alignment horizontal="center" vertical="center"/>
    </xf>
    <xf numFmtId="1" fontId="6" fillId="6" borderId="39" xfId="0" applyNumberFormat="1" applyFont="1" applyFill="1" applyBorder="1" applyAlignment="1" applyProtection="1">
      <alignment horizontal="center" vertical="center"/>
    </xf>
    <xf numFmtId="3" fontId="6" fillId="6" borderId="53" xfId="0" applyNumberFormat="1" applyFont="1" applyFill="1" applyBorder="1" applyAlignment="1" applyProtection="1">
      <alignment horizontal="center" vertical="center"/>
    </xf>
    <xf numFmtId="4" fontId="6" fillId="6" borderId="53" xfId="0" applyNumberFormat="1" applyFont="1" applyFill="1" applyBorder="1" applyAlignment="1" applyProtection="1">
      <alignment horizontal="center" vertical="center"/>
    </xf>
    <xf numFmtId="4" fontId="6" fillId="6" borderId="40" xfId="0" applyNumberFormat="1" applyFont="1" applyFill="1" applyBorder="1" applyAlignment="1" applyProtection="1">
      <alignment horizontal="center" vertical="center"/>
    </xf>
    <xf numFmtId="0" fontId="10" fillId="4" borderId="0" xfId="0" applyFont="1" applyFill="1" applyAlignment="1" applyProtection="1">
      <alignment vertical="center"/>
    </xf>
    <xf numFmtId="4" fontId="24" fillId="0" borderId="45" xfId="0" applyNumberFormat="1" applyFont="1" applyFill="1" applyBorder="1" applyAlignment="1" applyProtection="1">
      <alignment horizontal="center"/>
    </xf>
    <xf numFmtId="0" fontId="0" fillId="0" borderId="27" xfId="0" applyBorder="1" applyAlignment="1">
      <alignment horizontal="center"/>
    </xf>
    <xf numFmtId="0" fontId="40" fillId="4" borderId="0" xfId="0" applyFont="1" applyFill="1" applyBorder="1" applyAlignment="1" applyProtection="1">
      <alignment horizontal="left" wrapText="1"/>
    </xf>
    <xf numFmtId="0" fontId="24" fillId="19" borderId="37" xfId="0" applyFont="1" applyFill="1" applyBorder="1" applyAlignment="1" applyProtection="1">
      <alignment horizontal="center" vertical="center" wrapText="1"/>
    </xf>
    <xf numFmtId="0" fontId="24" fillId="19" borderId="51" xfId="0" applyFont="1" applyFill="1" applyBorder="1" applyAlignment="1" applyProtection="1">
      <alignment horizontal="center" vertical="center" wrapText="1"/>
    </xf>
    <xf numFmtId="4" fontId="46" fillId="4" borderId="53" xfId="0" applyNumberFormat="1" applyFont="1" applyFill="1" applyBorder="1" applyAlignment="1" applyProtection="1">
      <alignment horizontal="center" vertical="center"/>
    </xf>
    <xf numFmtId="0" fontId="46" fillId="4" borderId="52" xfId="0" applyFont="1" applyFill="1" applyBorder="1" applyAlignment="1" applyProtection="1">
      <alignment horizontal="center" vertical="center"/>
    </xf>
    <xf numFmtId="0" fontId="46" fillId="4" borderId="53" xfId="0" applyFont="1" applyFill="1" applyBorder="1" applyAlignment="1" applyProtection="1">
      <alignment horizontal="center" vertical="center"/>
    </xf>
    <xf numFmtId="3" fontId="46" fillId="4" borderId="53" xfId="0" applyNumberFormat="1" applyFont="1" applyFill="1" applyBorder="1" applyAlignment="1" applyProtection="1">
      <alignment horizontal="center" vertical="center"/>
    </xf>
    <xf numFmtId="4" fontId="46" fillId="4" borderId="54" xfId="0" applyNumberFormat="1" applyFont="1" applyFill="1" applyBorder="1" applyAlignment="1" applyProtection="1">
      <alignment horizontal="center" vertical="center"/>
    </xf>
    <xf numFmtId="4" fontId="6" fillId="0" borderId="13" xfId="0" applyNumberFormat="1" applyFont="1" applyFill="1" applyBorder="1" applyAlignment="1" applyProtection="1">
      <alignment horizontal="center" vertical="center"/>
      <protection locked="0"/>
    </xf>
    <xf numFmtId="0" fontId="33" fillId="6" borderId="0" xfId="0" applyFont="1" applyFill="1" applyBorder="1"/>
    <xf numFmtId="0" fontId="23" fillId="6" borderId="0" xfId="0" applyFont="1" applyFill="1" applyBorder="1"/>
    <xf numFmtId="168" fontId="0" fillId="0" borderId="0" xfId="0" applyNumberFormat="1"/>
    <xf numFmtId="0" fontId="24" fillId="4" borderId="43" xfId="0" applyFont="1" applyFill="1" applyBorder="1" applyAlignment="1">
      <alignment horizontal="center"/>
    </xf>
    <xf numFmtId="0" fontId="24" fillId="4" borderId="44" xfId="0" applyFont="1" applyFill="1" applyBorder="1" applyAlignment="1">
      <alignment horizontal="center"/>
    </xf>
    <xf numFmtId="4" fontId="24" fillId="4" borderId="44" xfId="0" applyNumberFormat="1" applyFont="1" applyFill="1" applyBorder="1" applyAlignment="1">
      <alignment horizontal="center"/>
    </xf>
    <xf numFmtId="4" fontId="24" fillId="4" borderId="45" xfId="0" applyNumberFormat="1" applyFont="1" applyFill="1" applyBorder="1" applyAlignment="1">
      <alignment horizontal="center"/>
    </xf>
    <xf numFmtId="0" fontId="24" fillId="19" borderId="37" xfId="0" applyFont="1" applyFill="1" applyBorder="1" applyAlignment="1">
      <alignment horizontal="center" vertical="center" wrapText="1"/>
    </xf>
    <xf numFmtId="4" fontId="33" fillId="5" borderId="22" xfId="0" applyNumberFormat="1" applyFont="1" applyFill="1" applyBorder="1" applyAlignment="1" applyProtection="1">
      <alignment horizontal="center"/>
      <protection locked="0"/>
    </xf>
    <xf numFmtId="4" fontId="33" fillId="5" borderId="33" xfId="0" applyNumberFormat="1" applyFont="1" applyFill="1" applyBorder="1" applyAlignment="1" applyProtection="1">
      <alignment horizontal="center"/>
      <protection locked="0"/>
    </xf>
    <xf numFmtId="4" fontId="33" fillId="5" borderId="39" xfId="0" applyNumberFormat="1" applyFont="1" applyFill="1" applyBorder="1" applyAlignment="1" applyProtection="1">
      <alignment horizontal="center"/>
      <protection locked="0"/>
    </xf>
    <xf numFmtId="4" fontId="34" fillId="5" borderId="33" xfId="0" applyNumberFormat="1" applyFont="1" applyFill="1" applyBorder="1" applyAlignment="1" applyProtection="1">
      <alignment horizontal="center" vertical="center" wrapText="1"/>
      <protection locked="0"/>
    </xf>
    <xf numFmtId="4" fontId="6" fillId="0" borderId="53" xfId="0" applyNumberFormat="1" applyFont="1" applyFill="1" applyBorder="1" applyAlignment="1" applyProtection="1">
      <alignment horizontal="center" vertical="center"/>
      <protection locked="0"/>
    </xf>
    <xf numFmtId="0" fontId="70" fillId="4" borderId="0" xfId="0" applyFont="1" applyFill="1" applyAlignment="1" applyProtection="1">
      <alignment horizontal="center"/>
    </xf>
    <xf numFmtId="0" fontId="68" fillId="13" borderId="0" xfId="1" applyFont="1" applyFill="1" applyBorder="1" applyProtection="1"/>
    <xf numFmtId="0" fontId="42" fillId="4" borderId="0" xfId="0" applyFont="1" applyFill="1" applyAlignment="1" applyProtection="1">
      <alignment horizontal="left" vertical="top" wrapText="1"/>
    </xf>
    <xf numFmtId="0" fontId="7" fillId="4" borderId="0" xfId="0" applyFont="1" applyFill="1" applyAlignment="1" applyProtection="1">
      <alignment horizontal="center" vertical="center" wrapText="1"/>
    </xf>
    <xf numFmtId="0" fontId="68" fillId="16" borderId="0" xfId="0" applyFont="1" applyFill="1" applyAlignment="1" applyProtection="1">
      <alignment horizontal="center" vertical="center"/>
    </xf>
    <xf numFmtId="0" fontId="42" fillId="4" borderId="0" xfId="0" applyFont="1" applyFill="1" applyAlignment="1" applyProtection="1">
      <alignment horizontal="left" wrapText="1"/>
    </xf>
    <xf numFmtId="0" fontId="40" fillId="4" borderId="0" xfId="0" applyFont="1" applyFill="1" applyAlignment="1" applyProtection="1">
      <alignment horizontal="left" wrapText="1"/>
    </xf>
    <xf numFmtId="0" fontId="42" fillId="4" borderId="0" xfId="0" applyFont="1" applyFill="1" applyAlignment="1" applyProtection="1">
      <alignment horizontal="left"/>
    </xf>
    <xf numFmtId="0" fontId="40" fillId="4" borderId="14" xfId="0" applyFont="1" applyFill="1" applyBorder="1" applyAlignment="1" applyProtection="1">
      <alignment horizontal="left" vertical="top" wrapText="1"/>
    </xf>
    <xf numFmtId="0" fontId="40" fillId="4" borderId="24" xfId="0" applyFont="1" applyFill="1" applyBorder="1" applyAlignment="1" applyProtection="1">
      <alignment horizontal="left" vertical="top" wrapText="1"/>
    </xf>
    <xf numFmtId="0" fontId="40" fillId="4" borderId="15" xfId="0" applyFont="1" applyFill="1" applyBorder="1" applyAlignment="1" applyProtection="1">
      <alignment horizontal="left" vertical="top" wrapText="1"/>
    </xf>
    <xf numFmtId="0" fontId="40" fillId="4" borderId="16" xfId="0" applyFont="1" applyFill="1" applyBorder="1" applyAlignment="1" applyProtection="1">
      <alignment horizontal="left" vertical="top" wrapText="1"/>
    </xf>
    <xf numFmtId="0" fontId="40" fillId="4" borderId="0" xfId="0" applyFont="1" applyFill="1" applyBorder="1" applyAlignment="1" applyProtection="1">
      <alignment horizontal="left" vertical="top" wrapText="1"/>
    </xf>
    <xf numFmtId="0" fontId="40" fillId="4" borderId="17" xfId="0" applyFont="1" applyFill="1" applyBorder="1" applyAlignment="1" applyProtection="1">
      <alignment horizontal="left" vertical="top" wrapText="1"/>
    </xf>
    <xf numFmtId="0" fontId="40" fillId="4" borderId="18" xfId="0" applyFont="1" applyFill="1" applyBorder="1" applyAlignment="1" applyProtection="1">
      <alignment horizontal="left" vertical="top" wrapText="1"/>
    </xf>
    <xf numFmtId="0" fontId="40" fillId="4" borderId="20" xfId="0" applyFont="1" applyFill="1" applyBorder="1" applyAlignment="1" applyProtection="1">
      <alignment horizontal="left" vertical="top" wrapText="1"/>
    </xf>
    <xf numFmtId="0" fontId="40" fillId="4" borderId="19" xfId="0" applyFont="1" applyFill="1" applyBorder="1" applyAlignment="1" applyProtection="1">
      <alignment horizontal="left" vertical="top" wrapText="1"/>
    </xf>
    <xf numFmtId="0" fontId="51" fillId="17" borderId="0" xfId="0" applyFont="1" applyFill="1" applyAlignment="1" applyProtection="1">
      <alignment horizontal="center" vertical="center" wrapText="1"/>
    </xf>
    <xf numFmtId="0" fontId="61" fillId="18" borderId="2" xfId="0" applyFont="1" applyFill="1" applyBorder="1" applyAlignment="1" applyProtection="1">
      <alignment horizontal="center" vertical="center"/>
    </xf>
    <xf numFmtId="0" fontId="61" fillId="18" borderId="0" xfId="0" applyFont="1" applyFill="1" applyAlignment="1" applyProtection="1">
      <alignment horizontal="center" vertical="center"/>
    </xf>
    <xf numFmtId="0" fontId="24" fillId="19" borderId="43" xfId="0" applyFont="1" applyFill="1" applyBorder="1" applyAlignment="1" applyProtection="1">
      <alignment horizontal="center" vertical="center" wrapText="1"/>
    </xf>
    <xf numFmtId="0" fontId="24" fillId="19" borderId="44" xfId="0" applyFont="1" applyFill="1" applyBorder="1" applyAlignment="1" applyProtection="1">
      <alignment horizontal="center" vertical="center" wrapText="1"/>
    </xf>
    <xf numFmtId="0" fontId="24" fillId="19" borderId="45" xfId="0" applyFont="1" applyFill="1" applyBorder="1" applyAlignment="1" applyProtection="1">
      <alignment horizontal="center" vertical="center" wrapText="1"/>
    </xf>
    <xf numFmtId="0" fontId="24" fillId="19" borderId="44" xfId="0" applyFont="1" applyFill="1" applyBorder="1" applyAlignment="1" applyProtection="1">
      <alignment horizontal="center" vertical="center"/>
    </xf>
    <xf numFmtId="0" fontId="24" fillId="19" borderId="45" xfId="0" applyFont="1" applyFill="1" applyBorder="1" applyAlignment="1" applyProtection="1">
      <alignment horizontal="center" vertical="center"/>
    </xf>
    <xf numFmtId="0" fontId="6" fillId="5" borderId="44" xfId="0" applyFont="1" applyFill="1" applyBorder="1" applyAlignment="1" applyProtection="1">
      <alignment horizontal="center"/>
      <protection locked="0"/>
    </xf>
    <xf numFmtId="0" fontId="6" fillId="5" borderId="45" xfId="0" applyFont="1" applyFill="1" applyBorder="1" applyAlignment="1" applyProtection="1">
      <alignment horizontal="center"/>
      <protection locked="0"/>
    </xf>
    <xf numFmtId="0" fontId="24" fillId="20" borderId="43" xfId="0" applyFont="1" applyFill="1" applyBorder="1" applyAlignment="1" applyProtection="1">
      <alignment horizontal="center" vertical="center" wrapText="1"/>
    </xf>
    <xf numFmtId="0" fontId="24" fillId="20" borderId="44" xfId="0" applyFont="1" applyFill="1" applyBorder="1" applyAlignment="1" applyProtection="1">
      <alignment horizontal="center" vertical="center" wrapText="1"/>
    </xf>
    <xf numFmtId="0" fontId="6" fillId="5" borderId="43" xfId="0" applyFont="1" applyFill="1" applyBorder="1" applyAlignment="1" applyProtection="1">
      <alignment horizontal="center"/>
      <protection locked="0"/>
    </xf>
    <xf numFmtId="0" fontId="6" fillId="5" borderId="43" xfId="0" applyFont="1" applyFill="1" applyBorder="1" applyAlignment="1" applyProtection="1">
      <alignment horizontal="center" vertical="center"/>
      <protection locked="0"/>
    </xf>
    <xf numFmtId="0" fontId="6" fillId="5" borderId="44" xfId="0" applyFont="1" applyFill="1" applyBorder="1" applyAlignment="1" applyProtection="1">
      <alignment horizontal="center" vertical="center"/>
      <protection locked="0"/>
    </xf>
    <xf numFmtId="0" fontId="6" fillId="5" borderId="45" xfId="0" applyFont="1" applyFill="1" applyBorder="1" applyAlignment="1" applyProtection="1">
      <alignment horizontal="center" vertical="center"/>
      <protection locked="0"/>
    </xf>
    <xf numFmtId="0" fontId="57" fillId="4" borderId="14" xfId="0" applyFont="1" applyFill="1" applyBorder="1" applyAlignment="1" applyProtection="1">
      <alignment horizontal="left" vertical="center" wrapText="1"/>
    </xf>
    <xf numFmtId="0" fontId="57" fillId="4" borderId="24" xfId="0" applyFont="1" applyFill="1" applyBorder="1" applyAlignment="1" applyProtection="1">
      <alignment horizontal="left" vertical="center"/>
    </xf>
    <xf numFmtId="0" fontId="57" fillId="4" borderId="15" xfId="0" applyFont="1" applyFill="1" applyBorder="1" applyAlignment="1" applyProtection="1">
      <alignment horizontal="left" vertical="center"/>
    </xf>
    <xf numFmtId="0" fontId="57" fillId="4" borderId="16" xfId="0" applyFont="1" applyFill="1" applyBorder="1" applyAlignment="1" applyProtection="1">
      <alignment horizontal="left" vertical="center"/>
    </xf>
    <xf numFmtId="0" fontId="57" fillId="4" borderId="0" xfId="0" applyFont="1" applyFill="1" applyBorder="1" applyAlignment="1" applyProtection="1">
      <alignment horizontal="left" vertical="center"/>
    </xf>
    <xf numFmtId="0" fontId="57" fillId="4" borderId="17" xfId="0" applyFont="1" applyFill="1" applyBorder="1" applyAlignment="1" applyProtection="1">
      <alignment horizontal="left" vertical="center"/>
    </xf>
    <xf numFmtId="0" fontId="57" fillId="4" borderId="18" xfId="0" applyFont="1" applyFill="1" applyBorder="1" applyAlignment="1" applyProtection="1">
      <alignment horizontal="left" vertical="center"/>
    </xf>
    <xf numFmtId="0" fontId="57" fillId="4" borderId="20" xfId="0" applyFont="1" applyFill="1" applyBorder="1" applyAlignment="1" applyProtection="1">
      <alignment horizontal="left" vertical="center"/>
    </xf>
    <xf numFmtId="0" fontId="57" fillId="4" borderId="19" xfId="0" applyFont="1" applyFill="1" applyBorder="1" applyAlignment="1" applyProtection="1">
      <alignment horizontal="left" vertical="center"/>
    </xf>
    <xf numFmtId="0" fontId="63" fillId="14" borderId="41" xfId="0" applyFont="1" applyFill="1" applyBorder="1" applyAlignment="1" applyProtection="1">
      <alignment horizontal="center" vertical="center"/>
      <protection locked="0"/>
    </xf>
    <xf numFmtId="0" fontId="63" fillId="14" borderId="33" xfId="0" applyFont="1" applyFill="1" applyBorder="1" applyAlignment="1" applyProtection="1">
      <alignment horizontal="center" vertical="center"/>
      <protection locked="0"/>
    </xf>
    <xf numFmtId="0" fontId="40" fillId="4" borderId="0" xfId="0" applyFont="1" applyFill="1" applyBorder="1" applyAlignment="1" applyProtection="1">
      <alignment horizontal="left" wrapText="1"/>
    </xf>
    <xf numFmtId="0" fontId="45" fillId="4" borderId="0" xfId="0" applyFont="1" applyFill="1" applyAlignment="1" applyProtection="1">
      <alignment horizontal="center" vertical="center"/>
    </xf>
    <xf numFmtId="0" fontId="40" fillId="5" borderId="55" xfId="0" applyNumberFormat="1" applyFont="1" applyFill="1" applyBorder="1" applyAlignment="1" applyProtection="1">
      <alignment horizontal="center" vertical="center"/>
      <protection locked="0"/>
    </xf>
    <xf numFmtId="0" fontId="40" fillId="5" borderId="56" xfId="0" applyNumberFormat="1" applyFont="1" applyFill="1" applyBorder="1" applyAlignment="1" applyProtection="1">
      <alignment horizontal="center" vertical="center"/>
      <protection locked="0"/>
    </xf>
    <xf numFmtId="0" fontId="40" fillId="5" borderId="57" xfId="0" applyNumberFormat="1" applyFont="1" applyFill="1" applyBorder="1" applyAlignment="1" applyProtection="1">
      <alignment horizontal="center" vertical="center"/>
      <protection locked="0"/>
    </xf>
    <xf numFmtId="0" fontId="40" fillId="5" borderId="33" xfId="0" applyFont="1" applyFill="1" applyBorder="1" applyAlignment="1" applyProtection="1">
      <alignment horizontal="center"/>
      <protection locked="0"/>
    </xf>
    <xf numFmtId="1" fontId="40" fillId="6" borderId="33" xfId="0" applyNumberFormat="1" applyFont="1" applyFill="1" applyBorder="1" applyAlignment="1" applyProtection="1">
      <alignment horizontal="center"/>
    </xf>
    <xf numFmtId="0" fontId="40" fillId="6" borderId="42" xfId="0" applyFont="1" applyFill="1" applyBorder="1" applyAlignment="1" applyProtection="1">
      <alignment horizontal="center"/>
    </xf>
    <xf numFmtId="0" fontId="57" fillId="5" borderId="38" xfId="0" applyFont="1" applyFill="1" applyBorder="1" applyAlignment="1" applyProtection="1">
      <alignment horizontal="center" vertical="center"/>
      <protection locked="0"/>
    </xf>
    <xf numFmtId="0" fontId="57" fillId="5" borderId="39" xfId="0" applyFont="1" applyFill="1" applyBorder="1" applyAlignment="1" applyProtection="1">
      <alignment horizontal="center" vertical="center"/>
      <protection locked="0"/>
    </xf>
    <xf numFmtId="0" fontId="63" fillId="5" borderId="39" xfId="0" applyFont="1" applyFill="1" applyBorder="1" applyAlignment="1" applyProtection="1">
      <alignment horizontal="center" vertical="center"/>
      <protection locked="0"/>
    </xf>
    <xf numFmtId="4" fontId="63" fillId="5" borderId="39" xfId="0" applyNumberFormat="1" applyFont="1" applyFill="1" applyBorder="1" applyAlignment="1" applyProtection="1">
      <alignment horizontal="center" vertical="center"/>
      <protection locked="0"/>
    </xf>
    <xf numFmtId="1" fontId="63" fillId="6" borderId="39" xfId="0" applyNumberFormat="1" applyFont="1" applyFill="1" applyBorder="1" applyAlignment="1" applyProtection="1">
      <alignment horizontal="center" vertical="center"/>
    </xf>
    <xf numFmtId="1" fontId="63" fillId="6" borderId="40" xfId="0" applyNumberFormat="1" applyFont="1" applyFill="1" applyBorder="1" applyAlignment="1" applyProtection="1">
      <alignment horizontal="center" vertical="center"/>
    </xf>
    <xf numFmtId="1" fontId="40" fillId="6" borderId="22" xfId="0" applyNumberFormat="1" applyFont="1" applyFill="1" applyBorder="1" applyAlignment="1" applyProtection="1">
      <alignment horizontal="center"/>
    </xf>
    <xf numFmtId="0" fontId="40" fillId="6" borderId="23" xfId="0" applyFont="1" applyFill="1" applyBorder="1" applyAlignment="1" applyProtection="1">
      <alignment horizontal="center"/>
    </xf>
    <xf numFmtId="0" fontId="63" fillId="5" borderId="33" xfId="0" applyFont="1" applyFill="1" applyBorder="1" applyAlignment="1" applyProtection="1">
      <alignment horizontal="center" vertical="center"/>
      <protection locked="0"/>
    </xf>
    <xf numFmtId="4" fontId="63" fillId="5" borderId="33" xfId="0" applyNumberFormat="1" applyFont="1" applyFill="1" applyBorder="1" applyAlignment="1" applyProtection="1">
      <alignment horizontal="center" vertical="center"/>
      <protection locked="0"/>
    </xf>
    <xf numFmtId="0" fontId="22" fillId="4" borderId="0" xfId="0" applyFont="1" applyFill="1" applyAlignment="1" applyProtection="1">
      <alignment horizontal="left" vertical="center" wrapText="1"/>
    </xf>
    <xf numFmtId="0" fontId="45" fillId="9" borderId="0" xfId="0" applyFont="1" applyFill="1" applyAlignment="1" applyProtection="1">
      <alignment horizontal="center" vertical="center"/>
    </xf>
    <xf numFmtId="4" fontId="64" fillId="4" borderId="44" xfId="0" applyNumberFormat="1" applyFont="1" applyFill="1" applyBorder="1" applyAlignment="1" applyProtection="1">
      <alignment horizontal="center" vertical="center"/>
    </xf>
    <xf numFmtId="0" fontId="62" fillId="4" borderId="43" xfId="0" applyFont="1" applyFill="1" applyBorder="1" applyAlignment="1" applyProtection="1">
      <alignment horizontal="center" vertical="center"/>
    </xf>
    <xf numFmtId="0" fontId="62" fillId="4" borderId="44" xfId="0" applyFont="1" applyFill="1" applyBorder="1" applyAlignment="1" applyProtection="1">
      <alignment horizontal="center" vertical="center"/>
    </xf>
    <xf numFmtId="0" fontId="64" fillId="4" borderId="44" xfId="0" applyFont="1" applyFill="1" applyBorder="1" applyAlignment="1" applyProtection="1">
      <alignment horizontal="center" vertical="center"/>
    </xf>
    <xf numFmtId="0" fontId="64" fillId="4" borderId="45" xfId="0" applyFont="1" applyFill="1" applyBorder="1" applyAlignment="1" applyProtection="1">
      <alignment horizontal="center" vertical="center"/>
    </xf>
    <xf numFmtId="0" fontId="24" fillId="21" borderId="25" xfId="0" applyFont="1" applyFill="1" applyBorder="1" applyAlignment="1" applyProtection="1">
      <alignment horizontal="center" vertical="center"/>
    </xf>
    <xf numFmtId="0" fontId="24" fillId="21" borderId="46" xfId="0" applyFont="1" applyFill="1" applyBorder="1" applyAlignment="1" applyProtection="1">
      <alignment horizontal="center" vertical="center"/>
    </xf>
    <xf numFmtId="0" fontId="24" fillId="21" borderId="30" xfId="0" applyFont="1" applyFill="1" applyBorder="1" applyAlignment="1" applyProtection="1">
      <alignment horizontal="center" vertical="center"/>
    </xf>
    <xf numFmtId="0" fontId="24" fillId="21" borderId="48" xfId="0" applyFont="1" applyFill="1" applyBorder="1" applyAlignment="1" applyProtection="1">
      <alignment horizontal="center" vertical="center"/>
    </xf>
    <xf numFmtId="0" fontId="24" fillId="21" borderId="47" xfId="0" applyFont="1" applyFill="1" applyBorder="1" applyAlignment="1" applyProtection="1">
      <alignment horizontal="center" vertical="center"/>
    </xf>
    <xf numFmtId="0" fontId="24" fillId="21" borderId="49" xfId="0" applyFont="1" applyFill="1" applyBorder="1" applyAlignment="1" applyProtection="1">
      <alignment horizontal="center" vertical="center"/>
    </xf>
    <xf numFmtId="0" fontId="24" fillId="21" borderId="47" xfId="0" applyFont="1" applyFill="1" applyBorder="1" applyAlignment="1" applyProtection="1">
      <alignment horizontal="center" vertical="center" wrapText="1"/>
    </xf>
    <xf numFmtId="0" fontId="24" fillId="21" borderId="46" xfId="0" applyFont="1" applyFill="1" applyBorder="1" applyAlignment="1" applyProtection="1">
      <alignment horizontal="center" vertical="center" wrapText="1"/>
    </xf>
    <xf numFmtId="0" fontId="24" fillId="21" borderId="49" xfId="0" applyFont="1" applyFill="1" applyBorder="1" applyAlignment="1" applyProtection="1">
      <alignment horizontal="center" vertical="center" wrapText="1"/>
    </xf>
    <xf numFmtId="0" fontId="24" fillId="21" borderId="48" xfId="0" applyFont="1" applyFill="1" applyBorder="1" applyAlignment="1" applyProtection="1">
      <alignment horizontal="center" vertical="center" wrapText="1"/>
    </xf>
    <xf numFmtId="0" fontId="24" fillId="21" borderId="27" xfId="0" applyFont="1" applyFill="1" applyBorder="1" applyAlignment="1" applyProtection="1">
      <alignment horizontal="center" vertical="center"/>
    </xf>
    <xf numFmtId="0" fontId="24" fillId="21" borderId="32" xfId="0" applyFont="1" applyFill="1" applyBorder="1" applyAlignment="1" applyProtection="1">
      <alignment horizontal="center" vertical="center"/>
    </xf>
    <xf numFmtId="0" fontId="40" fillId="5" borderId="41" xfId="0" applyFont="1" applyFill="1" applyBorder="1" applyAlignment="1" applyProtection="1">
      <alignment horizontal="center"/>
      <protection locked="0"/>
    </xf>
    <xf numFmtId="4" fontId="40" fillId="5" borderId="33" xfId="0" applyNumberFormat="1" applyFont="1" applyFill="1" applyBorder="1" applyAlignment="1" applyProtection="1">
      <alignment horizontal="center"/>
      <protection locked="0"/>
    </xf>
    <xf numFmtId="1" fontId="63" fillId="6" borderId="33" xfId="0" applyNumberFormat="1" applyFont="1" applyFill="1" applyBorder="1" applyAlignment="1" applyProtection="1">
      <alignment horizontal="center" vertical="center"/>
    </xf>
    <xf numFmtId="0" fontId="63" fillId="6" borderId="42" xfId="0" applyFont="1" applyFill="1" applyBorder="1" applyAlignment="1" applyProtection="1">
      <alignment horizontal="center" vertical="center"/>
    </xf>
    <xf numFmtId="0" fontId="40" fillId="5" borderId="22" xfId="0" applyFont="1" applyFill="1" applyBorder="1" applyAlignment="1" applyProtection="1">
      <alignment horizontal="center"/>
      <protection locked="0"/>
    </xf>
    <xf numFmtId="4" fontId="40" fillId="5" borderId="22" xfId="0" applyNumberFormat="1" applyFont="1" applyFill="1" applyBorder="1" applyAlignment="1" applyProtection="1">
      <alignment horizontal="center"/>
      <protection locked="0"/>
    </xf>
    <xf numFmtId="0" fontId="40" fillId="5" borderId="21" xfId="0" applyFont="1" applyFill="1" applyBorder="1" applyAlignment="1" applyProtection="1">
      <alignment horizontal="center"/>
      <protection locked="0"/>
    </xf>
    <xf numFmtId="4" fontId="63" fillId="14" borderId="33" xfId="0" applyNumberFormat="1" applyFont="1" applyFill="1" applyBorder="1" applyAlignment="1" applyProtection="1">
      <alignment horizontal="center" vertical="center"/>
      <protection locked="0"/>
    </xf>
    <xf numFmtId="1" fontId="63" fillId="10" borderId="33" xfId="0" applyNumberFormat="1" applyFont="1" applyFill="1" applyBorder="1" applyAlignment="1" applyProtection="1">
      <alignment horizontal="center" vertical="center"/>
    </xf>
    <xf numFmtId="0" fontId="63" fillId="10" borderId="42" xfId="0" applyFont="1" applyFill="1" applyBorder="1" applyAlignment="1" applyProtection="1">
      <alignment horizontal="center" vertical="center"/>
    </xf>
    <xf numFmtId="0" fontId="63" fillId="5" borderId="41" xfId="0" applyFont="1" applyFill="1" applyBorder="1" applyAlignment="1" applyProtection="1">
      <alignment horizontal="center" vertical="center"/>
      <protection locked="0"/>
    </xf>
    <xf numFmtId="0" fontId="61" fillId="18" borderId="2" xfId="0" applyFont="1" applyFill="1" applyBorder="1" applyAlignment="1" applyProtection="1">
      <alignment horizontal="left" vertical="center"/>
    </xf>
    <xf numFmtId="0" fontId="61" fillId="18" borderId="0" xfId="0" applyFont="1" applyFill="1" applyAlignment="1" applyProtection="1">
      <alignment horizontal="left" vertical="center"/>
    </xf>
    <xf numFmtId="0" fontId="24" fillId="19" borderId="22" xfId="0" applyFont="1" applyFill="1" applyBorder="1" applyAlignment="1" applyProtection="1">
      <alignment horizontal="center" vertical="center" wrapText="1"/>
    </xf>
    <xf numFmtId="0" fontId="24" fillId="19" borderId="37" xfId="0" applyFont="1" applyFill="1" applyBorder="1" applyAlignment="1" applyProtection="1">
      <alignment horizontal="center" vertical="center" wrapText="1"/>
    </xf>
    <xf numFmtId="0" fontId="47" fillId="4" borderId="0" xfId="0" applyFont="1" applyFill="1" applyAlignment="1" applyProtection="1">
      <alignment horizontal="left" vertical="top" wrapText="1"/>
    </xf>
    <xf numFmtId="0" fontId="24" fillId="19" borderId="21" xfId="0" applyFont="1" applyFill="1" applyBorder="1" applyAlignment="1" applyProtection="1">
      <alignment horizontal="center" vertical="center" wrapText="1"/>
    </xf>
    <xf numFmtId="0" fontId="24" fillId="19" borderId="41" xfId="0" applyFont="1" applyFill="1" applyBorder="1" applyAlignment="1" applyProtection="1">
      <alignment horizontal="center" vertical="center" wrapText="1"/>
    </xf>
    <xf numFmtId="0" fontId="24" fillId="19" borderId="38" xfId="0" applyFont="1" applyFill="1" applyBorder="1" applyAlignment="1" applyProtection="1">
      <alignment horizontal="center" vertical="center" wrapText="1"/>
    </xf>
    <xf numFmtId="0" fontId="57" fillId="6" borderId="0" xfId="0" applyFont="1" applyFill="1" applyAlignment="1" applyProtection="1">
      <alignment horizontal="left" vertical="center"/>
    </xf>
    <xf numFmtId="0" fontId="24" fillId="19" borderId="23" xfId="0" applyFont="1" applyFill="1" applyBorder="1" applyAlignment="1" applyProtection="1">
      <alignment horizontal="center" vertical="center" wrapText="1"/>
    </xf>
    <xf numFmtId="0" fontId="24" fillId="19" borderId="50" xfId="0" applyFont="1" applyFill="1" applyBorder="1" applyAlignment="1" applyProtection="1">
      <alignment horizontal="center" vertical="center" wrapText="1"/>
    </xf>
    <xf numFmtId="0" fontId="45" fillId="4" borderId="14" xfId="0" applyFont="1" applyFill="1" applyBorder="1" applyAlignment="1" applyProtection="1">
      <alignment horizontal="left" vertical="center" wrapText="1"/>
    </xf>
    <xf numFmtId="0" fontId="45" fillId="4" borderId="24" xfId="0" applyFont="1" applyFill="1" applyBorder="1" applyAlignment="1" applyProtection="1">
      <alignment horizontal="left" vertical="center"/>
    </xf>
    <xf numFmtId="0" fontId="45" fillId="4" borderId="15" xfId="0" applyFont="1" applyFill="1" applyBorder="1" applyAlignment="1" applyProtection="1">
      <alignment horizontal="left" vertical="center"/>
    </xf>
    <xf numFmtId="0" fontId="45" fillId="4" borderId="16" xfId="0" applyFont="1" applyFill="1" applyBorder="1" applyAlignment="1" applyProtection="1">
      <alignment horizontal="left" vertical="center"/>
    </xf>
    <xf numFmtId="0" fontId="45" fillId="4" borderId="0" xfId="0" applyFont="1" applyFill="1" applyBorder="1" applyAlignment="1" applyProtection="1">
      <alignment horizontal="left" vertical="center"/>
    </xf>
    <xf numFmtId="0" fontId="45" fillId="4" borderId="17" xfId="0" applyFont="1" applyFill="1" applyBorder="1" applyAlignment="1" applyProtection="1">
      <alignment horizontal="left" vertical="center"/>
    </xf>
    <xf numFmtId="0" fontId="45" fillId="4" borderId="18" xfId="0" applyFont="1" applyFill="1" applyBorder="1" applyAlignment="1" applyProtection="1">
      <alignment horizontal="left" vertical="center"/>
    </xf>
    <xf numFmtId="0" fontId="45" fillId="4" borderId="20" xfId="0" applyFont="1" applyFill="1" applyBorder="1" applyAlignment="1" applyProtection="1">
      <alignment horizontal="left" vertical="center"/>
    </xf>
    <xf numFmtId="0" fontId="45" fillId="4" borderId="19" xfId="0" applyFont="1" applyFill="1" applyBorder="1" applyAlignment="1" applyProtection="1">
      <alignment horizontal="left" vertical="center"/>
    </xf>
    <xf numFmtId="1" fontId="6" fillId="0" borderId="60" xfId="0" applyNumberFormat="1" applyFont="1" applyFill="1" applyBorder="1" applyAlignment="1" applyProtection="1">
      <alignment horizontal="center" vertical="center"/>
    </xf>
    <xf numFmtId="1" fontId="6" fillId="0" borderId="12" xfId="0" applyNumberFormat="1" applyFont="1" applyFill="1" applyBorder="1" applyAlignment="1" applyProtection="1">
      <alignment horizontal="center" vertical="center"/>
    </xf>
    <xf numFmtId="1" fontId="6" fillId="0" borderId="53" xfId="0" applyNumberFormat="1" applyFont="1" applyFill="1" applyBorder="1" applyAlignment="1" applyProtection="1">
      <alignment horizontal="center" vertical="center"/>
    </xf>
    <xf numFmtId="3" fontId="6" fillId="14" borderId="60" xfId="0" applyNumberFormat="1" applyFont="1" applyFill="1" applyBorder="1" applyAlignment="1" applyProtection="1">
      <alignment horizontal="center" vertical="center"/>
      <protection locked="0"/>
    </xf>
    <xf numFmtId="3" fontId="6" fillId="14" borderId="12" xfId="0" applyNumberFormat="1" applyFont="1" applyFill="1" applyBorder="1" applyAlignment="1" applyProtection="1">
      <alignment horizontal="center" vertical="center"/>
      <protection locked="0"/>
    </xf>
    <xf numFmtId="3" fontId="6" fillId="14" borderId="53" xfId="0" applyNumberFormat="1" applyFont="1" applyFill="1" applyBorder="1" applyAlignment="1" applyProtection="1">
      <alignment horizontal="center" vertical="center"/>
      <protection locked="0"/>
    </xf>
    <xf numFmtId="0" fontId="48" fillId="4" borderId="14" xfId="0" applyFont="1" applyFill="1" applyBorder="1" applyAlignment="1" applyProtection="1">
      <alignment horizontal="left" vertical="center" wrapText="1"/>
    </xf>
    <xf numFmtId="0" fontId="23" fillId="4" borderId="24" xfId="0" applyFont="1" applyFill="1" applyBorder="1" applyAlignment="1" applyProtection="1">
      <alignment horizontal="left" vertical="center"/>
    </xf>
    <xf numFmtId="0" fontId="23" fillId="4" borderId="15" xfId="0" applyFont="1" applyFill="1" applyBorder="1" applyAlignment="1" applyProtection="1">
      <alignment horizontal="left" vertical="center"/>
    </xf>
    <xf numFmtId="0" fontId="23" fillId="4" borderId="16" xfId="0" applyFont="1" applyFill="1" applyBorder="1" applyAlignment="1" applyProtection="1">
      <alignment horizontal="left" vertical="center"/>
    </xf>
    <xf numFmtId="0" fontId="23" fillId="4" borderId="0" xfId="0" applyFont="1" applyFill="1" applyBorder="1" applyAlignment="1" applyProtection="1">
      <alignment horizontal="left" vertical="center"/>
    </xf>
    <xf numFmtId="0" fontId="23" fillId="4" borderId="17" xfId="0" applyFont="1" applyFill="1" applyBorder="1" applyAlignment="1" applyProtection="1">
      <alignment horizontal="left" vertical="center"/>
    </xf>
    <xf numFmtId="0" fontId="23" fillId="4" borderId="18" xfId="0" applyFont="1" applyFill="1" applyBorder="1" applyAlignment="1" applyProtection="1">
      <alignment horizontal="left" vertical="center"/>
    </xf>
    <xf numFmtId="0" fontId="23" fillId="4" borderId="20" xfId="0" applyFont="1" applyFill="1" applyBorder="1" applyAlignment="1" applyProtection="1">
      <alignment horizontal="left" vertical="center"/>
    </xf>
    <xf numFmtId="0" fontId="23" fillId="4" borderId="19" xfId="0" applyFont="1" applyFill="1" applyBorder="1" applyAlignment="1" applyProtection="1">
      <alignment horizontal="left" vertical="center"/>
    </xf>
    <xf numFmtId="0" fontId="33" fillId="4" borderId="0" xfId="0" applyFont="1" applyFill="1" applyAlignment="1" applyProtection="1">
      <alignment horizontal="left" vertical="center" wrapText="1"/>
    </xf>
    <xf numFmtId="0" fontId="24" fillId="19" borderId="39" xfId="0" applyFont="1" applyFill="1" applyBorder="1" applyAlignment="1" applyProtection="1">
      <alignment horizontal="center" vertical="center" wrapText="1"/>
    </xf>
    <xf numFmtId="0" fontId="24" fillId="0" borderId="22" xfId="0" applyFont="1" applyFill="1" applyBorder="1" applyAlignment="1" applyProtection="1">
      <alignment horizontal="center" vertical="center" wrapText="1"/>
    </xf>
    <xf numFmtId="0" fontId="24" fillId="0" borderId="39" xfId="0" applyFont="1" applyFill="1" applyBorder="1" applyAlignment="1" applyProtection="1">
      <alignment horizontal="center" vertical="center" wrapText="1"/>
    </xf>
    <xf numFmtId="0" fontId="24" fillId="19" borderId="40" xfId="0" applyFont="1" applyFill="1" applyBorder="1" applyAlignment="1" applyProtection="1">
      <alignment horizontal="center" vertical="center" wrapText="1"/>
    </xf>
    <xf numFmtId="0" fontId="48" fillId="4" borderId="14" xfId="0" applyFont="1" applyFill="1" applyBorder="1" applyAlignment="1">
      <alignment horizontal="left" vertical="center" wrapText="1"/>
    </xf>
    <xf numFmtId="0" fontId="23" fillId="4" borderId="24" xfId="0" applyFont="1" applyFill="1" applyBorder="1" applyAlignment="1">
      <alignment horizontal="left" vertical="center"/>
    </xf>
    <xf numFmtId="0" fontId="23" fillId="4" borderId="15" xfId="0" applyFont="1" applyFill="1" applyBorder="1" applyAlignment="1">
      <alignment horizontal="left" vertical="center"/>
    </xf>
    <xf numFmtId="0" fontId="23" fillId="4" borderId="16" xfId="0" applyFont="1" applyFill="1" applyBorder="1" applyAlignment="1">
      <alignment horizontal="left" vertical="center"/>
    </xf>
    <xf numFmtId="0" fontId="23" fillId="4" borderId="0" xfId="0" applyFont="1" applyFill="1" applyBorder="1" applyAlignment="1">
      <alignment horizontal="left" vertical="center"/>
    </xf>
    <xf numFmtId="0" fontId="23" fillId="4" borderId="17" xfId="0" applyFont="1" applyFill="1" applyBorder="1" applyAlignment="1">
      <alignment horizontal="left" vertical="center"/>
    </xf>
    <xf numFmtId="0" fontId="23" fillId="4" borderId="18" xfId="0" applyFont="1" applyFill="1" applyBorder="1" applyAlignment="1">
      <alignment horizontal="left" vertical="center"/>
    </xf>
    <xf numFmtId="0" fontId="23" fillId="4" borderId="20" xfId="0" applyFont="1" applyFill="1" applyBorder="1" applyAlignment="1">
      <alignment horizontal="left" vertical="center"/>
    </xf>
    <xf numFmtId="0" fontId="23" fillId="4" borderId="19" xfId="0" applyFont="1" applyFill="1" applyBorder="1" applyAlignment="1">
      <alignment horizontal="left" vertical="center"/>
    </xf>
    <xf numFmtId="0" fontId="61" fillId="18" borderId="0" xfId="0" applyFont="1" applyFill="1" applyAlignment="1">
      <alignment horizontal="center" vertical="center"/>
    </xf>
    <xf numFmtId="0" fontId="33" fillId="4" borderId="0" xfId="0" applyFont="1" applyFill="1" applyAlignment="1">
      <alignment horizontal="left" vertical="center" wrapText="1"/>
    </xf>
    <xf numFmtId="0" fontId="24" fillId="19" borderId="21" xfId="0" applyFont="1" applyFill="1" applyBorder="1" applyAlignment="1">
      <alignment horizontal="center" vertical="center" wrapText="1"/>
    </xf>
    <xf numFmtId="0" fontId="24" fillId="19" borderId="41" xfId="0" applyFont="1" applyFill="1" applyBorder="1" applyAlignment="1">
      <alignment horizontal="center" vertical="center" wrapText="1"/>
    </xf>
    <xf numFmtId="0" fontId="24" fillId="19" borderId="38" xfId="0" applyFont="1" applyFill="1" applyBorder="1" applyAlignment="1">
      <alignment horizontal="center" vertical="center" wrapText="1"/>
    </xf>
    <xf numFmtId="0" fontId="24" fillId="19" borderId="22" xfId="0" applyFont="1" applyFill="1" applyBorder="1" applyAlignment="1">
      <alignment horizontal="center" vertical="center" wrapText="1"/>
    </xf>
    <xf numFmtId="0" fontId="24" fillId="19" borderId="37" xfId="0" applyFont="1" applyFill="1" applyBorder="1" applyAlignment="1">
      <alignment horizontal="center" vertical="center" wrapText="1"/>
    </xf>
    <xf numFmtId="0" fontId="24" fillId="19" borderId="50" xfId="0" applyFont="1" applyFill="1" applyBorder="1" applyAlignment="1">
      <alignment horizontal="center" vertical="center" wrapText="1"/>
    </xf>
    <xf numFmtId="0" fontId="24" fillId="19" borderId="21" xfId="0" applyNumberFormat="1" applyFont="1" applyFill="1" applyBorder="1" applyAlignment="1">
      <alignment horizontal="center" vertical="center" wrapText="1"/>
    </xf>
    <xf numFmtId="0" fontId="24" fillId="19" borderId="41" xfId="0" applyNumberFormat="1" applyFont="1" applyFill="1" applyBorder="1" applyAlignment="1">
      <alignment horizontal="center" vertical="center" wrapText="1"/>
    </xf>
    <xf numFmtId="0" fontId="24" fillId="19" borderId="38" xfId="0" applyNumberFormat="1" applyFont="1" applyFill="1" applyBorder="1" applyAlignment="1">
      <alignment horizontal="center" vertical="center" wrapText="1"/>
    </xf>
    <xf numFmtId="0" fontId="24" fillId="19" borderId="23" xfId="0" applyFont="1" applyFill="1" applyBorder="1" applyAlignment="1">
      <alignment horizontal="center" vertical="center" wrapText="1"/>
    </xf>
    <xf numFmtId="0" fontId="24" fillId="19" borderId="51" xfId="0" applyFont="1" applyFill="1" applyBorder="1" applyAlignment="1">
      <alignment horizontal="center" vertical="center" wrapText="1"/>
    </xf>
    <xf numFmtId="0" fontId="24" fillId="19" borderId="21" xfId="0" applyNumberFormat="1" applyFont="1" applyFill="1" applyBorder="1" applyAlignment="1" applyProtection="1">
      <alignment horizontal="center" vertical="center" wrapText="1"/>
    </xf>
    <xf numFmtId="0" fontId="24" fillId="19" borderId="41" xfId="0" applyNumberFormat="1" applyFont="1" applyFill="1" applyBorder="1" applyAlignment="1" applyProtection="1">
      <alignment horizontal="center" vertical="center" wrapText="1"/>
    </xf>
    <xf numFmtId="0" fontId="24" fillId="19" borderId="38" xfId="0" applyNumberFormat="1" applyFont="1" applyFill="1" applyBorder="1" applyAlignment="1" applyProtection="1">
      <alignment horizontal="center" vertical="center" wrapText="1"/>
    </xf>
    <xf numFmtId="0" fontId="24" fillId="19" borderId="50" xfId="0" applyNumberFormat="1" applyFont="1" applyFill="1" applyBorder="1" applyAlignment="1" applyProtection="1">
      <alignment horizontal="center" vertical="center" wrapText="1"/>
    </xf>
    <xf numFmtId="0" fontId="9" fillId="18" borderId="0" xfId="0" applyFont="1" applyFill="1" applyAlignment="1" applyProtection="1">
      <alignment horizontal="center" vertical="center"/>
    </xf>
    <xf numFmtId="0" fontId="33" fillId="4" borderId="0" xfId="0" applyFont="1" applyFill="1" applyAlignment="1" applyProtection="1">
      <alignment horizontal="left" vertical="center"/>
    </xf>
    <xf numFmtId="4" fontId="6" fillId="0" borderId="33" xfId="0" applyNumberFormat="1" applyFont="1" applyFill="1" applyBorder="1" applyAlignment="1">
      <alignment horizontal="center" vertical="center" wrapText="1"/>
    </xf>
    <xf numFmtId="4" fontId="6" fillId="4" borderId="33" xfId="0" applyNumberFormat="1" applyFont="1" applyFill="1" applyBorder="1" applyAlignment="1">
      <alignment horizontal="center" vertical="center" wrapText="1"/>
    </xf>
    <xf numFmtId="0" fontId="19" fillId="22" borderId="33" xfId="0" applyFont="1" applyFill="1" applyBorder="1" applyAlignment="1">
      <alignment horizontal="left" vertical="center" wrapText="1"/>
    </xf>
    <xf numFmtId="0" fontId="25" fillId="18" borderId="0" xfId="0" applyFont="1" applyFill="1" applyAlignment="1">
      <alignment horizontal="left" vertical="center"/>
    </xf>
    <xf numFmtId="0" fontId="19" fillId="22" borderId="33" xfId="0" applyFont="1" applyFill="1" applyBorder="1" applyAlignment="1">
      <alignment horizontal="center" vertical="center" wrapText="1"/>
    </xf>
    <xf numFmtId="0" fontId="16" fillId="22" borderId="10" xfId="0" applyFont="1" applyFill="1" applyBorder="1" applyAlignment="1">
      <alignment horizontal="center" vertical="center"/>
    </xf>
    <xf numFmtId="0" fontId="16" fillId="22" borderId="11" xfId="0" applyFont="1" applyFill="1" applyBorder="1" applyAlignment="1">
      <alignment horizontal="center" vertical="center"/>
    </xf>
    <xf numFmtId="0" fontId="19" fillId="22" borderId="7" xfId="0" applyFont="1" applyFill="1" applyBorder="1" applyAlignment="1">
      <alignment horizontal="center" wrapText="1"/>
    </xf>
    <xf numFmtId="0" fontId="19" fillId="22" borderId="0" xfId="0" applyFont="1" applyFill="1" applyBorder="1" applyAlignment="1">
      <alignment horizontal="center" wrapText="1"/>
    </xf>
    <xf numFmtId="0" fontId="19" fillId="22" borderId="0" xfId="0" applyFont="1" applyFill="1" applyAlignment="1">
      <alignment horizontal="center" wrapText="1"/>
    </xf>
    <xf numFmtId="0" fontId="24" fillId="20" borderId="33" xfId="0" applyFont="1" applyFill="1" applyBorder="1" applyAlignment="1">
      <alignment horizontal="center" vertical="center"/>
    </xf>
    <xf numFmtId="49" fontId="40" fillId="6" borderId="33" xfId="0" applyNumberFormat="1" applyFont="1" applyFill="1" applyBorder="1" applyAlignment="1">
      <alignment horizontal="center" vertical="center" wrapText="1"/>
    </xf>
    <xf numFmtId="3" fontId="40" fillId="4" borderId="33" xfId="0" applyNumberFormat="1" applyFont="1" applyFill="1" applyBorder="1" applyAlignment="1">
      <alignment horizontal="center" vertical="center" wrapText="1"/>
    </xf>
    <xf numFmtId="0" fontId="40" fillId="4" borderId="33" xfId="0" applyFont="1" applyFill="1" applyBorder="1" applyAlignment="1">
      <alignment horizontal="center" vertical="center" wrapText="1"/>
    </xf>
    <xf numFmtId="0" fontId="40" fillId="4" borderId="33" xfId="0" applyNumberFormat="1" applyFont="1" applyFill="1" applyBorder="1" applyAlignment="1">
      <alignment horizontal="center" vertical="center" wrapText="1"/>
    </xf>
    <xf numFmtId="0" fontId="40" fillId="0" borderId="33" xfId="0" applyNumberFormat="1" applyFont="1" applyFill="1" applyBorder="1" applyAlignment="1">
      <alignment horizontal="center" vertical="center" wrapText="1"/>
    </xf>
    <xf numFmtId="0" fontId="57" fillId="4" borderId="33" xfId="0" applyFont="1" applyFill="1" applyBorder="1" applyAlignment="1">
      <alignment horizontal="center" vertical="center" wrapText="1"/>
    </xf>
    <xf numFmtId="0" fontId="19" fillId="22" borderId="0" xfId="0" applyFont="1" applyFill="1" applyAlignment="1">
      <alignment horizontal="center" vertical="center"/>
    </xf>
    <xf numFmtId="0" fontId="19" fillId="22" borderId="8" xfId="0" applyFont="1" applyFill="1" applyBorder="1" applyAlignment="1">
      <alignment horizontal="center" vertical="center"/>
    </xf>
    <xf numFmtId="0" fontId="19" fillId="22" borderId="34" xfId="0" applyFont="1" applyFill="1" applyBorder="1" applyAlignment="1">
      <alignment horizontal="left" vertical="center" wrapText="1"/>
    </xf>
    <xf numFmtId="0" fontId="19" fillId="22" borderId="35" xfId="0" applyFont="1" applyFill="1" applyBorder="1" applyAlignment="1">
      <alignment horizontal="left" vertical="center" wrapText="1"/>
    </xf>
    <xf numFmtId="0" fontId="19" fillId="22" borderId="36" xfId="0" applyFont="1" applyFill="1" applyBorder="1" applyAlignment="1">
      <alignment horizontal="left" vertical="center" wrapText="1"/>
    </xf>
    <xf numFmtId="0" fontId="19" fillId="22" borderId="34" xfId="0" applyFont="1" applyFill="1" applyBorder="1" applyAlignment="1">
      <alignment horizontal="center" vertical="center" wrapText="1"/>
    </xf>
    <xf numFmtId="0" fontId="19" fillId="22" borderId="35" xfId="0" applyFont="1" applyFill="1" applyBorder="1" applyAlignment="1">
      <alignment horizontal="center" vertical="center" wrapText="1"/>
    </xf>
    <xf numFmtId="0" fontId="19" fillId="22" borderId="36" xfId="0" applyFont="1" applyFill="1" applyBorder="1" applyAlignment="1">
      <alignment horizontal="center" vertical="center" wrapText="1"/>
    </xf>
    <xf numFmtId="0" fontId="37" fillId="22" borderId="5" xfId="0" applyFont="1" applyFill="1" applyBorder="1" applyAlignment="1">
      <alignment horizontal="center"/>
    </xf>
    <xf numFmtId="0" fontId="37" fillId="22" borderId="6" xfId="0" applyFont="1" applyFill="1" applyBorder="1" applyAlignment="1">
      <alignment horizontal="center"/>
    </xf>
    <xf numFmtId="0" fontId="24" fillId="22" borderId="0" xfId="0" applyFont="1" applyFill="1" applyAlignment="1">
      <alignment horizontal="center" vertical="center"/>
    </xf>
    <xf numFmtId="0" fontId="24" fillId="22" borderId="8" xfId="0" applyFont="1" applyFill="1" applyBorder="1" applyAlignment="1">
      <alignment horizontal="center" vertical="center"/>
    </xf>
    <xf numFmtId="4" fontId="19" fillId="4" borderId="33" xfId="0" applyNumberFormat="1" applyFont="1" applyFill="1" applyBorder="1" applyAlignment="1">
      <alignment horizontal="center" vertical="center" wrapText="1"/>
    </xf>
    <xf numFmtId="0" fontId="0" fillId="0" borderId="29" xfId="0" applyFill="1" applyBorder="1"/>
    <xf numFmtId="0" fontId="44" fillId="0" borderId="28" xfId="0" applyFont="1" applyFill="1" applyBorder="1"/>
    <xf numFmtId="166" fontId="0" fillId="0" borderId="29" xfId="0" applyNumberFormat="1" applyFill="1" applyBorder="1"/>
    <xf numFmtId="0" fontId="26" fillId="0" borderId="28" xfId="0" applyFont="1" applyFill="1" applyBorder="1"/>
    <xf numFmtId="0" fontId="44" fillId="0" borderId="30" xfId="0" applyFont="1" applyFill="1" applyBorder="1"/>
    <xf numFmtId="166" fontId="0" fillId="0" borderId="31" xfId="0" applyNumberFormat="1" applyFill="1" applyBorder="1"/>
    <xf numFmtId="166" fontId="0" fillId="0" borderId="32" xfId="0" applyNumberFormat="1" applyFill="1" applyBorder="1"/>
    <xf numFmtId="0" fontId="49" fillId="0" borderId="28" xfId="0" applyFont="1" applyFill="1" applyBorder="1"/>
    <xf numFmtId="0" fontId="0" fillId="0" borderId="31" xfId="0" applyFill="1" applyBorder="1"/>
  </cellXfs>
  <cellStyles count="14">
    <cellStyle name="CAIB_2" xfId="2"/>
    <cellStyle name="Hipervínculo" xfId="1" builtinId="8"/>
    <cellStyle name="Input" xfId="3"/>
    <cellStyle name="Millares 2" xfId="4"/>
    <cellStyle name="Millares 2 2" xfId="5"/>
    <cellStyle name="Millares 3" xfId="6"/>
    <cellStyle name="Millares 3 2" xfId="7"/>
    <cellStyle name="Normal" xfId="0" builtinId="0"/>
    <cellStyle name="Normal 2" xfId="8"/>
    <cellStyle name="Normal 2 2" xfId="9"/>
    <cellStyle name="Normal 2 2 2" xfId="13"/>
    <cellStyle name="Normal 2 3" xfId="10"/>
    <cellStyle name="Normal 2 4" xfId="11"/>
    <cellStyle name="Normal 4" xfId="12"/>
  </cellStyles>
  <dxfs count="14">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DEDCE6"/>
      <color rgb="FF24FC2E"/>
      <color rgb="FFC2829E"/>
      <color rgb="FFFF8989"/>
      <color rgb="FFFF3F3F"/>
      <color rgb="FF1F497D"/>
      <color rgb="FF808080"/>
      <color rgb="FFFF6161"/>
      <color rgb="FFFF1111"/>
      <color rgb="FFD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plotArea>
      <c:layout/>
      <c:barChart>
        <c:barDir val="col"/>
        <c:grouping val="stacked"/>
        <c:ser>
          <c:idx val="0"/>
          <c:order val="0"/>
          <c:tx>
            <c:strRef>
              <c:f>'3. Resultats'!$F$44</c:f>
              <c:strCache>
                <c:ptCount val="1"/>
                <c:pt idx="0">
                  <c:v>1.1 Absorcions dels arbres</c:v>
                </c:pt>
              </c:strCache>
            </c:strRef>
          </c:tx>
          <c:spPr>
            <a:solidFill>
              <a:schemeClr val="accent6">
                <a:lumMod val="75000"/>
              </a:schemeClr>
            </a:solidFill>
          </c:spPr>
          <c:dPt>
            <c:idx val="2"/>
            <c:spPr>
              <a:solidFill>
                <a:srgbClr val="24FC2E"/>
              </a:solidFill>
            </c:spPr>
          </c:dPt>
          <c:cat>
            <c:strRef>
              <c:f>'3. Resultats'!$E$45:$E$47</c:f>
              <c:strCache>
                <c:ptCount val="3"/>
                <c:pt idx="0">
                  <c:v>Absorcions</c:v>
                </c:pt>
                <c:pt idx="1">
                  <c:v>Emissions</c:v>
                </c:pt>
                <c:pt idx="2">
                  <c:v>Balanç</c:v>
                </c:pt>
              </c:strCache>
            </c:strRef>
          </c:cat>
          <c:val>
            <c:numRef>
              <c:f>'3. Resultats'!$F$45:$F$47</c:f>
              <c:numCache>
                <c:formatCode>General</c:formatCode>
                <c:ptCount val="3"/>
                <c:pt idx="0" formatCode="#,##0.00">
                  <c:v>0</c:v>
                </c:pt>
                <c:pt idx="2" formatCode="#,##0.00">
                  <c:v>0</c:v>
                </c:pt>
              </c:numCache>
            </c:numRef>
          </c:val>
        </c:ser>
        <c:ser>
          <c:idx val="1"/>
          <c:order val="1"/>
          <c:tx>
            <c:strRef>
              <c:f>'3. Resultats'!$G$44</c:f>
              <c:strCache>
                <c:ptCount val="1"/>
                <c:pt idx="0">
                  <c:v>2.1 Emissions CO2 descomposició i crema</c:v>
                </c:pt>
              </c:strCache>
            </c:strRef>
          </c:tx>
          <c:cat>
            <c:strRef>
              <c:f>'3. Resultats'!$E$45:$E$47</c:f>
              <c:strCache>
                <c:ptCount val="3"/>
                <c:pt idx="0">
                  <c:v>Absorcions</c:v>
                </c:pt>
                <c:pt idx="1">
                  <c:v>Emissions</c:v>
                </c:pt>
                <c:pt idx="2">
                  <c:v>Balanç</c:v>
                </c:pt>
              </c:strCache>
            </c:strRef>
          </c:cat>
          <c:val>
            <c:numRef>
              <c:f>'3. Resultats'!$G$45:$G$47</c:f>
              <c:numCache>
                <c:formatCode>#,##0.00</c:formatCode>
                <c:ptCount val="3"/>
                <c:pt idx="1">
                  <c:v>0</c:v>
                </c:pt>
              </c:numCache>
            </c:numRef>
          </c:val>
        </c:ser>
        <c:ser>
          <c:idx val="2"/>
          <c:order val="2"/>
          <c:tx>
            <c:strRef>
              <c:f>'3. Resultats'!$H$44</c:f>
              <c:strCache>
                <c:ptCount val="1"/>
                <c:pt idx="0">
                  <c:v>2.2 Emissions vehicles i maquinària</c:v>
                </c:pt>
              </c:strCache>
            </c:strRef>
          </c:tx>
          <c:cat>
            <c:strRef>
              <c:f>'3. Resultats'!$E$45:$E$47</c:f>
              <c:strCache>
                <c:ptCount val="3"/>
                <c:pt idx="0">
                  <c:v>Absorcions</c:v>
                </c:pt>
                <c:pt idx="1">
                  <c:v>Emissions</c:v>
                </c:pt>
                <c:pt idx="2">
                  <c:v>Balanç</c:v>
                </c:pt>
              </c:strCache>
            </c:strRef>
          </c:cat>
          <c:val>
            <c:numRef>
              <c:f>'3. Resultats'!$H$45:$H$47</c:f>
              <c:numCache>
                <c:formatCode>#,##0.00</c:formatCode>
                <c:ptCount val="3"/>
                <c:pt idx="1">
                  <c:v>0</c:v>
                </c:pt>
              </c:numCache>
            </c:numRef>
          </c:val>
        </c:ser>
        <c:ser>
          <c:idx val="3"/>
          <c:order val="3"/>
          <c:tx>
            <c:strRef>
              <c:f>'3. Resultats'!$I$44</c:f>
              <c:strCache>
                <c:ptCount val="1"/>
                <c:pt idx="0">
                  <c:v>2.3 Emissions CH4 i N2O per crema</c:v>
                </c:pt>
              </c:strCache>
            </c:strRef>
          </c:tx>
          <c:cat>
            <c:strRef>
              <c:f>'3. Resultats'!$E$45:$E$47</c:f>
              <c:strCache>
                <c:ptCount val="3"/>
                <c:pt idx="0">
                  <c:v>Absorcions</c:v>
                </c:pt>
                <c:pt idx="1">
                  <c:v>Emissions</c:v>
                </c:pt>
                <c:pt idx="2">
                  <c:v>Balanç</c:v>
                </c:pt>
              </c:strCache>
            </c:strRef>
          </c:cat>
          <c:val>
            <c:numRef>
              <c:f>'3. Resultats'!$I$45:$I$47</c:f>
              <c:numCache>
                <c:formatCode>#,##0.00</c:formatCode>
                <c:ptCount val="3"/>
                <c:pt idx="1">
                  <c:v>0</c:v>
                </c:pt>
              </c:numCache>
            </c:numRef>
          </c:val>
        </c:ser>
        <c:ser>
          <c:idx val="4"/>
          <c:order val="4"/>
          <c:tx>
            <c:strRef>
              <c:f>'3. Resultats'!$J$44</c:f>
              <c:strCache>
                <c:ptCount val="1"/>
                <c:pt idx="0">
                  <c:v>2.4 Emissions productes fusters</c:v>
                </c:pt>
              </c:strCache>
            </c:strRef>
          </c:tx>
          <c:cat>
            <c:strRef>
              <c:f>'3. Resultats'!$E$45:$E$47</c:f>
              <c:strCache>
                <c:ptCount val="3"/>
                <c:pt idx="0">
                  <c:v>Absorcions</c:v>
                </c:pt>
                <c:pt idx="1">
                  <c:v>Emissions</c:v>
                </c:pt>
                <c:pt idx="2">
                  <c:v>Balanç</c:v>
                </c:pt>
              </c:strCache>
            </c:strRef>
          </c:cat>
          <c:val>
            <c:numRef>
              <c:f>'3. Resultats'!$J$45:$J$47</c:f>
              <c:numCache>
                <c:formatCode>#,##0.00</c:formatCode>
                <c:ptCount val="3"/>
                <c:pt idx="1">
                  <c:v>0</c:v>
                </c:pt>
              </c:numCache>
            </c:numRef>
          </c:val>
        </c:ser>
        <c:gapWidth val="75"/>
        <c:overlap val="100"/>
        <c:axId val="191006208"/>
        <c:axId val="191007744"/>
      </c:barChart>
      <c:catAx>
        <c:axId val="191006208"/>
        <c:scaling>
          <c:orientation val="minMax"/>
        </c:scaling>
        <c:axPos val="b"/>
        <c:majorTickMark val="none"/>
        <c:tickLblPos val="nextTo"/>
        <c:crossAx val="191007744"/>
        <c:crosses val="autoZero"/>
        <c:auto val="1"/>
        <c:lblAlgn val="ctr"/>
        <c:lblOffset val="100"/>
      </c:catAx>
      <c:valAx>
        <c:axId val="191007744"/>
        <c:scaling>
          <c:orientation val="minMax"/>
        </c:scaling>
        <c:axPos val="l"/>
        <c:majorGridlines/>
        <c:minorGridlines/>
        <c:title>
          <c:tx>
            <c:rich>
              <a:bodyPr/>
              <a:lstStyle/>
              <a:p>
                <a:pPr>
                  <a:defRPr/>
                </a:pPr>
                <a:r>
                  <a:rPr lang="es-ES"/>
                  <a:t>t CO2 eq</a:t>
                </a:r>
              </a:p>
            </c:rich>
          </c:tx>
          <c:layout/>
        </c:title>
        <c:numFmt formatCode="#,##0.00" sourceLinked="1"/>
        <c:tickLblPos val="nextTo"/>
        <c:crossAx val="191006208"/>
        <c:crosses val="autoZero"/>
        <c:crossBetween val="between"/>
      </c:valAx>
    </c:plotArea>
    <c:legend>
      <c:legendPos val="r"/>
      <c:layout/>
    </c:legend>
    <c:plotVisOnly val="1"/>
  </c:chart>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chart" Target="../charts/chart1.xml"/><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61135</xdr:colOff>
      <xdr:row>3</xdr:row>
      <xdr:rowOff>200024</xdr:rowOff>
    </xdr:from>
    <xdr:to>
      <xdr:col>0</xdr:col>
      <xdr:colOff>1958975</xdr:colOff>
      <xdr:row>9</xdr:row>
      <xdr:rowOff>76408</xdr:rowOff>
    </xdr:to>
    <xdr:pic>
      <xdr:nvPicPr>
        <xdr:cNvPr id="3" name="Imagen 2">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61135" y="904874"/>
          <a:ext cx="1897840" cy="1143209"/>
        </a:xfrm>
        <a:prstGeom prst="rect">
          <a:avLst/>
        </a:prstGeom>
      </xdr:spPr>
    </xdr:pic>
    <xdr:clientData/>
  </xdr:twoCellAnchor>
  <xdr:twoCellAnchor editAs="oneCell">
    <xdr:from>
      <xdr:col>0</xdr:col>
      <xdr:colOff>0</xdr:colOff>
      <xdr:row>0</xdr:row>
      <xdr:rowOff>0</xdr:rowOff>
    </xdr:from>
    <xdr:to>
      <xdr:col>0</xdr:col>
      <xdr:colOff>1952625</xdr:colOff>
      <xdr:row>3</xdr:row>
      <xdr:rowOff>132158</xdr:rowOff>
    </xdr:to>
    <xdr:pic>
      <xdr:nvPicPr>
        <xdr:cNvPr id="5" name="Imagen 4">
          <a:extLst>
            <a:ext uri="{FF2B5EF4-FFF2-40B4-BE49-F238E27FC236}">
              <a16:creationId xmlns="" xmlns:a16="http://schemas.microsoft.com/office/drawing/2014/main" id="{24EDEEDF-76AF-8F76-9A8A-82252966FF22}"/>
            </a:ext>
          </a:extLst>
        </xdr:cNvPr>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3</xdr:rowOff>
    </xdr:from>
    <xdr:to>
      <xdr:col>0</xdr:col>
      <xdr:colOff>1952626</xdr:colOff>
      <xdr:row>2</xdr:row>
      <xdr:rowOff>13628</xdr:rowOff>
    </xdr:to>
    <xdr:pic>
      <xdr:nvPicPr>
        <xdr:cNvPr id="2" name="Imagen 1">
          <a:extLst>
            <a:ext uri="{FF2B5EF4-FFF2-40B4-BE49-F238E27FC236}">
              <a16:creationId xmlns="" xmlns:a16="http://schemas.microsoft.com/office/drawing/2014/main" id="{A531A61F-E869-4EF0-9464-2600A015BBE9}"/>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 y="3"/>
          <a:ext cx="1952625" cy="837008"/>
        </a:xfrm>
        <a:prstGeom prst="rect">
          <a:avLst/>
        </a:prstGeom>
      </xdr:spPr>
    </xdr:pic>
    <xdr:clientData/>
  </xdr:twoCellAnchor>
  <xdr:twoCellAnchor editAs="oneCell">
    <xdr:from>
      <xdr:col>3</xdr:col>
      <xdr:colOff>47626</xdr:colOff>
      <xdr:row>10</xdr:row>
      <xdr:rowOff>76200</xdr:rowOff>
    </xdr:from>
    <xdr:to>
      <xdr:col>5</xdr:col>
      <xdr:colOff>955111</xdr:colOff>
      <xdr:row>18</xdr:row>
      <xdr:rowOff>57150</xdr:rowOff>
    </xdr:to>
    <xdr:pic>
      <xdr:nvPicPr>
        <xdr:cNvPr id="1026"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4067176" y="2609850"/>
          <a:ext cx="2479110" cy="2286000"/>
        </a:xfrm>
        <a:prstGeom prst="rect">
          <a:avLst/>
        </a:prstGeom>
        <a:noFill/>
        <a:ln w="1">
          <a:noFill/>
          <a:miter lim="800000"/>
          <a:headEnd/>
          <a:tailEnd type="none" w="med" len="med"/>
        </a:ln>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2</xdr:row>
      <xdr:rowOff>11508</xdr:rowOff>
    </xdr:to>
    <xdr:pic>
      <xdr:nvPicPr>
        <xdr:cNvPr id="2" name="Imagen 1">
          <a:extLst>
            <a:ext uri="{FF2B5EF4-FFF2-40B4-BE49-F238E27FC236}">
              <a16:creationId xmlns="" xmlns:a16="http://schemas.microsoft.com/office/drawing/2014/main" id="{0D3CFC59-90B7-440C-82C6-AEA030A30283}"/>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2</xdr:row>
      <xdr:rowOff>19836</xdr:rowOff>
    </xdr:to>
    <xdr:pic>
      <xdr:nvPicPr>
        <xdr:cNvPr id="2" name="Imagen 1">
          <a:extLst>
            <a:ext uri="{FF2B5EF4-FFF2-40B4-BE49-F238E27FC236}">
              <a16:creationId xmlns="" xmlns:a16="http://schemas.microsoft.com/office/drawing/2014/main"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2646" y="3969"/>
          <a:ext cx="1952625" cy="83700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 xmlns:a16="http://schemas.microsoft.com/office/drawing/2014/main" id="{F90CD4F8-68C5-49DC-9BD8-21B72C08C0D8}"/>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2646" y="3969"/>
          <a:ext cx="1952625" cy="8370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2</xdr:row>
      <xdr:rowOff>19836</xdr:rowOff>
    </xdr:to>
    <xdr:pic>
      <xdr:nvPicPr>
        <xdr:cNvPr id="2" name="Imagen 1">
          <a:extLst>
            <a:ext uri="{FF2B5EF4-FFF2-40B4-BE49-F238E27FC236}">
              <a16:creationId xmlns="" xmlns:a16="http://schemas.microsoft.com/office/drawing/2014/main"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2646" y="3969"/>
          <a:ext cx="1952625" cy="8350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 xmlns:a16="http://schemas.microsoft.com/office/drawing/2014/main"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2646" y="3969"/>
          <a:ext cx="1952625" cy="8327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1</xdr:row>
      <xdr:rowOff>322658</xdr:rowOff>
    </xdr:to>
    <xdr:pic>
      <xdr:nvPicPr>
        <xdr:cNvPr id="2" name="Imagen 1">
          <a:extLst>
            <a:ext uri="{FF2B5EF4-FFF2-40B4-BE49-F238E27FC236}">
              <a16:creationId xmlns="" xmlns:a16="http://schemas.microsoft.com/office/drawing/2014/main" id="{A4F79D3A-D410-448F-AA4B-879F7BF3EB8B}"/>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1952625" cy="837008"/>
        </a:xfrm>
        <a:prstGeom prst="rect">
          <a:avLst/>
        </a:prstGeom>
      </xdr:spPr>
    </xdr:pic>
    <xdr:clientData/>
  </xdr:twoCellAnchor>
  <xdr:twoCellAnchor>
    <xdr:from>
      <xdr:col>15</xdr:col>
      <xdr:colOff>952499</xdr:colOff>
      <xdr:row>11</xdr:row>
      <xdr:rowOff>134471</xdr:rowOff>
    </xdr:from>
    <xdr:to>
      <xdr:col>21</xdr:col>
      <xdr:colOff>1053352</xdr:colOff>
      <xdr:row>29</xdr:row>
      <xdr:rowOff>11206</xdr:rowOff>
    </xdr:to>
    <xdr:graphicFrame macro="">
      <xdr:nvGraphicFramePr>
        <xdr:cNvPr id="21" name="2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4</xdr:col>
      <xdr:colOff>11205</xdr:colOff>
      <xdr:row>39</xdr:row>
      <xdr:rowOff>168090</xdr:rowOff>
    </xdr:from>
    <xdr:to>
      <xdr:col>11</xdr:col>
      <xdr:colOff>11205</xdr:colOff>
      <xdr:row>50</xdr:row>
      <xdr:rowOff>0</xdr:rowOff>
    </xdr:to>
    <xdr:pic>
      <xdr:nvPicPr>
        <xdr:cNvPr id="15361"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4090146" y="8079443"/>
          <a:ext cx="5715000" cy="2173939"/>
        </a:xfrm>
        <a:prstGeom prst="rect">
          <a:avLst/>
        </a:prstGeom>
        <a:noFill/>
        <a:ln w="1">
          <a:solidFill>
            <a:sysClr val="windowText" lastClr="000000"/>
          </a:solidFill>
          <a:miter lim="800000"/>
          <a:headEnd/>
          <a:tailEnd type="none" w="med" len="med"/>
        </a:ln>
        <a:effec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Hoja1"/>
  <dimension ref="A1:AMK53"/>
  <sheetViews>
    <sheetView tabSelected="1" zoomScaleNormal="100" workbookViewId="0">
      <selection activeCell="O8" sqref="O8"/>
    </sheetView>
  </sheetViews>
  <sheetFormatPr baseColWidth="10" defaultColWidth="9.140625" defaultRowHeight="16.5"/>
  <cols>
    <col min="1" max="1" width="55.7109375" style="47" customWidth="1"/>
    <col min="2" max="3" width="3.42578125" style="47" customWidth="1"/>
    <col min="4" max="4" width="3.7109375" style="47" customWidth="1"/>
    <col min="5" max="5" width="11.42578125" style="47"/>
    <col min="6" max="6" width="32.85546875" style="47" customWidth="1"/>
    <col min="7" max="7" width="36" style="47" customWidth="1"/>
    <col min="8" max="8" width="3.7109375" style="47" customWidth="1"/>
    <col min="9" max="9" width="11.42578125" style="47"/>
    <col min="10" max="11" width="13.140625" style="47" customWidth="1"/>
    <col min="12" max="12" width="6.140625" style="47" customWidth="1"/>
    <col min="13" max="14" width="3.7109375" style="47" customWidth="1"/>
    <col min="15" max="1025" width="11.42578125" style="47"/>
    <col min="1026" max="16384" width="9.140625" style="46"/>
  </cols>
  <sheetData>
    <row r="1" spans="1:13" ht="22.5" customHeight="1">
      <c r="E1" s="258" t="s">
        <v>121</v>
      </c>
      <c r="F1" s="258"/>
      <c r="G1" s="258"/>
      <c r="H1" s="258"/>
      <c r="I1" s="258"/>
      <c r="J1" s="258"/>
      <c r="K1" s="258"/>
      <c r="L1" s="258"/>
    </row>
    <row r="2" spans="1:13" ht="16.5" customHeight="1">
      <c r="E2" s="258"/>
      <c r="F2" s="258"/>
      <c r="G2" s="258"/>
      <c r="H2" s="258"/>
      <c r="I2" s="258"/>
      <c r="J2" s="258"/>
      <c r="K2" s="258"/>
      <c r="L2" s="258"/>
      <c r="M2" s="244"/>
    </row>
    <row r="3" spans="1:13" ht="16.5" customHeight="1">
      <c r="E3" s="258"/>
      <c r="F3" s="258"/>
      <c r="G3" s="258"/>
      <c r="H3" s="258"/>
      <c r="I3" s="258"/>
      <c r="J3" s="258"/>
      <c r="K3" s="258"/>
      <c r="L3" s="258"/>
      <c r="M3" s="244"/>
    </row>
    <row r="4" spans="1:13" s="168" customFormat="1" ht="20.25" customHeight="1">
      <c r="A4" s="167"/>
      <c r="B4" s="167"/>
      <c r="C4" s="167"/>
      <c r="D4" s="167"/>
      <c r="E4" s="258"/>
      <c r="F4" s="258"/>
      <c r="G4" s="258"/>
      <c r="H4" s="258"/>
      <c r="I4" s="258"/>
      <c r="J4" s="258"/>
      <c r="K4" s="258"/>
      <c r="L4" s="258"/>
      <c r="M4" s="167"/>
    </row>
    <row r="5" spans="1:13" s="168" customFormat="1" ht="17.25" customHeight="1">
      <c r="A5" s="167"/>
      <c r="B5" s="167"/>
      <c r="C5" s="167"/>
      <c r="D5" s="167"/>
      <c r="E5" s="169"/>
      <c r="F5" s="169"/>
      <c r="G5" s="169"/>
      <c r="H5" s="169"/>
      <c r="I5" s="169"/>
      <c r="J5" s="169"/>
      <c r="K5" s="169"/>
      <c r="L5" s="169"/>
      <c r="M5" s="167"/>
    </row>
    <row r="6" spans="1:13" ht="20.100000000000001" customHeight="1">
      <c r="B6" s="45"/>
      <c r="C6" s="45"/>
      <c r="D6" s="45"/>
      <c r="E6" s="245" t="s">
        <v>0</v>
      </c>
      <c r="F6" s="245"/>
      <c r="G6" s="245"/>
      <c r="H6" s="245"/>
      <c r="I6" s="245"/>
      <c r="J6" s="245"/>
      <c r="K6" s="245"/>
      <c r="L6" s="245"/>
      <c r="M6" s="170"/>
    </row>
    <row r="7" spans="1:13" s="168" customFormat="1" ht="14.25" customHeight="1">
      <c r="A7" s="167"/>
      <c r="B7" s="171"/>
      <c r="C7" s="171"/>
      <c r="D7" s="171"/>
      <c r="E7" s="172"/>
      <c r="F7" s="172"/>
      <c r="G7" s="172"/>
      <c r="H7" s="172"/>
      <c r="I7" s="172"/>
      <c r="J7" s="172"/>
      <c r="K7" s="172"/>
      <c r="L7" s="172"/>
      <c r="M7" s="171"/>
    </row>
    <row r="8" spans="1:13" s="168" customFormat="1" ht="14.25" customHeight="1">
      <c r="A8" s="167"/>
      <c r="B8" s="171"/>
      <c r="C8" s="171"/>
      <c r="D8" s="171"/>
      <c r="E8" s="246" t="s">
        <v>114</v>
      </c>
      <c r="F8" s="247"/>
      <c r="G8" s="247"/>
      <c r="H8" s="247"/>
      <c r="I8" s="247"/>
      <c r="J8" s="247"/>
      <c r="K8" s="247"/>
      <c r="L8" s="247"/>
      <c r="M8" s="171"/>
    </row>
    <row r="9" spans="1:13" s="168" customFormat="1" ht="14.25" customHeight="1">
      <c r="A9" s="167"/>
      <c r="B9" s="171"/>
      <c r="C9" s="171"/>
      <c r="D9" s="171"/>
      <c r="E9" s="247"/>
      <c r="F9" s="247"/>
      <c r="G9" s="247"/>
      <c r="H9" s="247"/>
      <c r="I9" s="247"/>
      <c r="J9" s="247"/>
      <c r="K9" s="247"/>
      <c r="L9" s="247"/>
      <c r="M9" s="171"/>
    </row>
    <row r="10" spans="1:13" s="168" customFormat="1" ht="14.25" customHeight="1">
      <c r="A10" s="167"/>
      <c r="B10" s="171"/>
      <c r="C10" s="171"/>
      <c r="D10" s="171"/>
      <c r="E10" s="173"/>
      <c r="F10" s="173"/>
      <c r="G10" s="173"/>
      <c r="H10" s="173"/>
      <c r="I10" s="173"/>
      <c r="J10" s="173"/>
      <c r="K10" s="173"/>
      <c r="L10" s="173"/>
      <c r="M10" s="171"/>
    </row>
    <row r="11" spans="1:13" s="168" customFormat="1" ht="14.25" customHeight="1">
      <c r="A11" s="167"/>
      <c r="B11" s="171"/>
      <c r="C11" s="171"/>
      <c r="D11" s="171"/>
      <c r="E11" s="248" t="s">
        <v>1</v>
      </c>
      <c r="F11" s="248"/>
      <c r="G11" s="248"/>
      <c r="H11" s="248"/>
      <c r="I11" s="248"/>
      <c r="J11" s="248"/>
      <c r="K11" s="248"/>
      <c r="L11" s="248"/>
      <c r="M11" s="171"/>
    </row>
    <row r="12" spans="1:13" s="168" customFormat="1" ht="14.25" customHeight="1">
      <c r="A12" s="167"/>
      <c r="B12" s="171"/>
      <c r="C12" s="171"/>
      <c r="D12" s="171"/>
      <c r="E12" s="174"/>
      <c r="F12" s="173" t="s">
        <v>2</v>
      </c>
      <c r="G12" s="173"/>
      <c r="H12" s="173"/>
      <c r="I12" s="173"/>
      <c r="J12" s="173"/>
      <c r="K12" s="173"/>
      <c r="L12" s="173"/>
      <c r="M12" s="171"/>
    </row>
    <row r="13" spans="1:13" s="168" customFormat="1" ht="14.25" customHeight="1">
      <c r="A13" s="167"/>
      <c r="B13" s="171"/>
      <c r="C13" s="171"/>
      <c r="D13" s="171"/>
      <c r="E13" s="175"/>
      <c r="F13" s="173" t="s">
        <v>3</v>
      </c>
      <c r="G13" s="173"/>
      <c r="H13" s="173"/>
      <c r="I13" s="173"/>
      <c r="J13" s="173"/>
      <c r="K13" s="173"/>
      <c r="L13" s="173"/>
      <c r="M13" s="171"/>
    </row>
    <row r="14" spans="1:13" s="168" customFormat="1" ht="14.25" customHeight="1">
      <c r="A14" s="167"/>
      <c r="B14" s="171"/>
      <c r="C14" s="171"/>
      <c r="D14" s="171"/>
      <c r="E14" s="173"/>
      <c r="F14" s="173"/>
      <c r="G14" s="173"/>
      <c r="H14" s="173"/>
      <c r="I14" s="173"/>
      <c r="J14" s="173"/>
      <c r="K14" s="173"/>
      <c r="L14" s="173"/>
      <c r="M14" s="171"/>
    </row>
    <row r="15" spans="1:13" ht="15" customHeight="1">
      <c r="E15" s="176"/>
      <c r="F15" s="176"/>
      <c r="G15" s="176"/>
      <c r="H15" s="176"/>
      <c r="I15" s="176"/>
      <c r="J15" s="176"/>
      <c r="K15" s="176"/>
      <c r="L15" s="176"/>
    </row>
    <row r="16" spans="1:13" s="177" customFormat="1" ht="18">
      <c r="B16" s="178"/>
      <c r="C16" s="241">
        <v>1</v>
      </c>
      <c r="D16" s="241"/>
      <c r="E16" s="242" t="s">
        <v>110</v>
      </c>
      <c r="F16" s="242"/>
      <c r="G16" s="242"/>
      <c r="H16" s="242"/>
      <c r="I16" s="242"/>
      <c r="J16" s="242"/>
      <c r="K16" s="242"/>
      <c r="L16" s="242"/>
    </row>
    <row r="17" spans="2:12" s="177" customFormat="1" ht="7.5" customHeight="1">
      <c r="B17" s="179"/>
      <c r="C17" s="179"/>
      <c r="D17" s="179"/>
      <c r="E17" s="100"/>
      <c r="F17" s="180"/>
      <c r="G17" s="181"/>
      <c r="H17" s="181"/>
      <c r="I17" s="181"/>
      <c r="J17" s="181"/>
      <c r="K17" s="181"/>
      <c r="L17" s="181"/>
    </row>
    <row r="18" spans="2:12" s="177" customFormat="1" ht="18">
      <c r="B18" s="178"/>
      <c r="C18" s="241" t="s">
        <v>4</v>
      </c>
      <c r="D18" s="241"/>
      <c r="E18" s="242" t="s">
        <v>115</v>
      </c>
      <c r="F18" s="242"/>
      <c r="G18" s="242"/>
      <c r="H18" s="242"/>
      <c r="I18" s="242"/>
      <c r="J18" s="242"/>
      <c r="K18" s="242"/>
      <c r="L18" s="242"/>
    </row>
    <row r="19" spans="2:12" s="177" customFormat="1" ht="7.5" customHeight="1">
      <c r="B19" s="179"/>
      <c r="C19" s="179"/>
      <c r="D19" s="179"/>
      <c r="E19" s="100"/>
      <c r="F19" s="180"/>
      <c r="G19" s="181"/>
      <c r="H19" s="181"/>
      <c r="I19" s="181"/>
      <c r="J19" s="181"/>
      <c r="K19" s="181"/>
      <c r="L19" s="181"/>
    </row>
    <row r="20" spans="2:12" s="177" customFormat="1" ht="21">
      <c r="B20" s="178"/>
      <c r="C20" s="241" t="s">
        <v>5</v>
      </c>
      <c r="D20" s="241"/>
      <c r="E20" s="242" t="s">
        <v>216</v>
      </c>
      <c r="F20" s="242"/>
      <c r="G20" s="242"/>
      <c r="H20" s="242"/>
      <c r="I20" s="242"/>
      <c r="J20" s="242"/>
      <c r="K20" s="242"/>
      <c r="L20" s="242"/>
    </row>
    <row r="21" spans="2:12" s="177" customFormat="1" ht="7.5" customHeight="1">
      <c r="B21" s="179"/>
      <c r="C21" s="179"/>
      <c r="D21" s="179"/>
      <c r="E21" s="100"/>
      <c r="F21" s="180"/>
      <c r="G21" s="181"/>
      <c r="H21" s="181"/>
      <c r="I21" s="181"/>
      <c r="J21" s="181"/>
      <c r="K21" s="181"/>
      <c r="L21" s="181"/>
    </row>
    <row r="22" spans="2:12" s="177" customFormat="1" ht="18">
      <c r="B22" s="178"/>
      <c r="C22" s="241" t="s">
        <v>118</v>
      </c>
      <c r="D22" s="241"/>
      <c r="E22" s="242" t="s">
        <v>116</v>
      </c>
      <c r="F22" s="242"/>
      <c r="G22" s="242"/>
      <c r="H22" s="242"/>
      <c r="I22" s="242"/>
      <c r="J22" s="242"/>
      <c r="K22" s="242"/>
      <c r="L22" s="242"/>
    </row>
    <row r="23" spans="2:12" s="177" customFormat="1" ht="7.5" customHeight="1">
      <c r="B23" s="179"/>
      <c r="C23" s="179"/>
      <c r="D23" s="179"/>
      <c r="E23" s="100"/>
      <c r="F23" s="180"/>
      <c r="G23" s="181"/>
      <c r="H23" s="181"/>
      <c r="I23" s="181"/>
      <c r="J23" s="181"/>
      <c r="K23" s="181"/>
      <c r="L23" s="181"/>
    </row>
    <row r="24" spans="2:12" s="177" customFormat="1" ht="21">
      <c r="B24" s="178"/>
      <c r="C24" s="241" t="s">
        <v>119</v>
      </c>
      <c r="D24" s="241"/>
      <c r="E24" s="242" t="s">
        <v>217</v>
      </c>
      <c r="F24" s="242"/>
      <c r="G24" s="242"/>
      <c r="H24" s="242"/>
      <c r="I24" s="242"/>
      <c r="J24" s="242"/>
      <c r="K24" s="242"/>
      <c r="L24" s="242"/>
    </row>
    <row r="25" spans="2:12" s="177" customFormat="1" ht="7.5" customHeight="1">
      <c r="B25" s="179"/>
      <c r="C25" s="179"/>
      <c r="D25" s="179"/>
      <c r="E25" s="100"/>
      <c r="F25" s="180"/>
      <c r="G25" s="181"/>
      <c r="H25" s="181"/>
      <c r="I25" s="181"/>
      <c r="J25" s="181"/>
      <c r="K25" s="181"/>
      <c r="L25" s="181"/>
    </row>
    <row r="26" spans="2:12" s="177" customFormat="1" ht="17.25" customHeight="1">
      <c r="B26" s="178"/>
      <c r="C26" s="241" t="s">
        <v>120</v>
      </c>
      <c r="D26" s="241"/>
      <c r="E26" s="242" t="s">
        <v>117</v>
      </c>
      <c r="F26" s="242"/>
      <c r="G26" s="242"/>
      <c r="H26" s="242"/>
      <c r="I26" s="242"/>
      <c r="J26" s="242"/>
      <c r="K26" s="242"/>
      <c r="L26" s="242"/>
    </row>
    <row r="27" spans="2:12" s="177" customFormat="1" ht="7.5" customHeight="1">
      <c r="B27" s="179"/>
      <c r="C27" s="179"/>
      <c r="D27" s="179"/>
      <c r="E27" s="100"/>
      <c r="F27" s="180"/>
      <c r="G27" s="181"/>
      <c r="H27" s="181"/>
      <c r="I27" s="181"/>
      <c r="J27" s="181"/>
      <c r="K27" s="181"/>
      <c r="L27" s="181"/>
    </row>
    <row r="28" spans="2:12" s="177" customFormat="1" ht="17.850000000000001" customHeight="1">
      <c r="B28" s="178"/>
      <c r="C28" s="241">
        <v>3</v>
      </c>
      <c r="D28" s="241"/>
      <c r="E28" s="242" t="s">
        <v>169</v>
      </c>
      <c r="F28" s="242"/>
      <c r="G28" s="242"/>
      <c r="H28" s="242"/>
      <c r="I28" s="242"/>
      <c r="J28" s="242"/>
      <c r="K28" s="242"/>
      <c r="L28" s="242"/>
    </row>
    <row r="29" spans="2:12" s="177" customFormat="1" ht="7.5" customHeight="1">
      <c r="B29" s="182"/>
      <c r="C29" s="182"/>
      <c r="D29" s="182"/>
      <c r="E29" s="100"/>
      <c r="F29" s="180"/>
      <c r="G29" s="181"/>
      <c r="H29" s="181"/>
      <c r="I29" s="181"/>
      <c r="J29" s="181"/>
      <c r="K29" s="181"/>
      <c r="L29" s="181"/>
    </row>
    <row r="30" spans="2:12" ht="15.75" customHeight="1">
      <c r="D30" s="183"/>
      <c r="E30" s="100"/>
      <c r="F30" s="180"/>
      <c r="G30" s="181"/>
      <c r="H30" s="181"/>
      <c r="I30" s="181"/>
      <c r="J30" s="181"/>
      <c r="K30" s="181"/>
      <c r="L30" s="181"/>
    </row>
    <row r="31" spans="2:12" ht="16.5" customHeight="1">
      <c r="E31" s="249" t="s">
        <v>218</v>
      </c>
      <c r="F31" s="250"/>
      <c r="G31" s="250"/>
      <c r="H31" s="250"/>
      <c r="I31" s="250"/>
      <c r="J31" s="250"/>
      <c r="K31" s="250"/>
      <c r="L31" s="251"/>
    </row>
    <row r="32" spans="2:12">
      <c r="E32" s="252"/>
      <c r="F32" s="253"/>
      <c r="G32" s="253"/>
      <c r="H32" s="253"/>
      <c r="I32" s="253"/>
      <c r="J32" s="253"/>
      <c r="K32" s="253"/>
      <c r="L32" s="254"/>
    </row>
    <row r="33" spans="5:12">
      <c r="E33" s="252"/>
      <c r="F33" s="253"/>
      <c r="G33" s="253"/>
      <c r="H33" s="253"/>
      <c r="I33" s="253"/>
      <c r="J33" s="253"/>
      <c r="K33" s="253"/>
      <c r="L33" s="254"/>
    </row>
    <row r="34" spans="5:12">
      <c r="E34" s="252"/>
      <c r="F34" s="253"/>
      <c r="G34" s="253"/>
      <c r="H34" s="253"/>
      <c r="I34" s="253"/>
      <c r="J34" s="253"/>
      <c r="K34" s="253"/>
      <c r="L34" s="254"/>
    </row>
    <row r="35" spans="5:12">
      <c r="E35" s="252"/>
      <c r="F35" s="253"/>
      <c r="G35" s="253"/>
      <c r="H35" s="253"/>
      <c r="I35" s="253"/>
      <c r="J35" s="253"/>
      <c r="K35" s="253"/>
      <c r="L35" s="254"/>
    </row>
    <row r="36" spans="5:12">
      <c r="E36" s="252"/>
      <c r="F36" s="253"/>
      <c r="G36" s="253"/>
      <c r="H36" s="253"/>
      <c r="I36" s="253"/>
      <c r="J36" s="253"/>
      <c r="K36" s="253"/>
      <c r="L36" s="254"/>
    </row>
    <row r="37" spans="5:12">
      <c r="E37" s="252"/>
      <c r="F37" s="253"/>
      <c r="G37" s="253"/>
      <c r="H37" s="253"/>
      <c r="I37" s="253"/>
      <c r="J37" s="253"/>
      <c r="K37" s="253"/>
      <c r="L37" s="254"/>
    </row>
    <row r="38" spans="5:12">
      <c r="E38" s="252"/>
      <c r="F38" s="253"/>
      <c r="G38" s="253"/>
      <c r="H38" s="253"/>
      <c r="I38" s="253"/>
      <c r="J38" s="253"/>
      <c r="K38" s="253"/>
      <c r="L38" s="254"/>
    </row>
    <row r="39" spans="5:12">
      <c r="E39" s="252"/>
      <c r="F39" s="253"/>
      <c r="G39" s="253"/>
      <c r="H39" s="253"/>
      <c r="I39" s="253"/>
      <c r="J39" s="253"/>
      <c r="K39" s="253"/>
      <c r="L39" s="254"/>
    </row>
    <row r="40" spans="5:12">
      <c r="E40" s="252"/>
      <c r="F40" s="253"/>
      <c r="G40" s="253"/>
      <c r="H40" s="253"/>
      <c r="I40" s="253"/>
      <c r="J40" s="253"/>
      <c r="K40" s="253"/>
      <c r="L40" s="254"/>
    </row>
    <row r="41" spans="5:12">
      <c r="E41" s="252"/>
      <c r="F41" s="253"/>
      <c r="G41" s="253"/>
      <c r="H41" s="253"/>
      <c r="I41" s="253"/>
      <c r="J41" s="253"/>
      <c r="K41" s="253"/>
      <c r="L41" s="254"/>
    </row>
    <row r="42" spans="5:12">
      <c r="E42" s="252"/>
      <c r="F42" s="253"/>
      <c r="G42" s="253"/>
      <c r="H42" s="253"/>
      <c r="I42" s="253"/>
      <c r="J42" s="253"/>
      <c r="K42" s="253"/>
      <c r="L42" s="254"/>
    </row>
    <row r="43" spans="5:12">
      <c r="E43" s="252"/>
      <c r="F43" s="253"/>
      <c r="G43" s="253"/>
      <c r="H43" s="253"/>
      <c r="I43" s="253"/>
      <c r="J43" s="253"/>
      <c r="K43" s="253"/>
      <c r="L43" s="254"/>
    </row>
    <row r="44" spans="5:12">
      <c r="E44" s="252"/>
      <c r="F44" s="253"/>
      <c r="G44" s="253"/>
      <c r="H44" s="253"/>
      <c r="I44" s="253"/>
      <c r="J44" s="253"/>
      <c r="K44" s="253"/>
      <c r="L44" s="254"/>
    </row>
    <row r="45" spans="5:12">
      <c r="E45" s="252"/>
      <c r="F45" s="253"/>
      <c r="G45" s="253"/>
      <c r="H45" s="253"/>
      <c r="I45" s="253"/>
      <c r="J45" s="253"/>
      <c r="K45" s="253"/>
      <c r="L45" s="254"/>
    </row>
    <row r="46" spans="5:12">
      <c r="E46" s="252"/>
      <c r="F46" s="253"/>
      <c r="G46" s="253"/>
      <c r="H46" s="253"/>
      <c r="I46" s="253"/>
      <c r="J46" s="253"/>
      <c r="K46" s="253"/>
      <c r="L46" s="254"/>
    </row>
    <row r="47" spans="5:12">
      <c r="E47" s="255"/>
      <c r="F47" s="256"/>
      <c r="G47" s="256"/>
      <c r="H47" s="256"/>
      <c r="I47" s="256"/>
      <c r="J47" s="256"/>
      <c r="K47" s="256"/>
      <c r="L47" s="257"/>
    </row>
    <row r="48" spans="5:12" ht="15" customHeight="1">
      <c r="E48" s="184"/>
      <c r="F48" s="184"/>
      <c r="G48" s="184"/>
      <c r="H48" s="184"/>
      <c r="I48" s="184"/>
      <c r="J48" s="184"/>
      <c r="K48" s="184"/>
      <c r="L48" s="184"/>
    </row>
    <row r="49" spans="5:12" ht="16.5" customHeight="1">
      <c r="E49" s="243" t="s">
        <v>215</v>
      </c>
      <c r="F49" s="243"/>
      <c r="G49" s="243"/>
      <c r="H49" s="243"/>
      <c r="I49" s="243"/>
      <c r="J49" s="243"/>
      <c r="K49" s="243"/>
      <c r="L49" s="243"/>
    </row>
    <row r="50" spans="5:12">
      <c r="E50" s="243"/>
      <c r="F50" s="243"/>
      <c r="G50" s="243"/>
      <c r="H50" s="243"/>
      <c r="I50" s="243"/>
      <c r="J50" s="243"/>
      <c r="K50" s="243"/>
      <c r="L50" s="243"/>
    </row>
    <row r="51" spans="5:12">
      <c r="E51" s="185"/>
      <c r="F51" s="185"/>
      <c r="G51" s="185"/>
      <c r="H51" s="185"/>
      <c r="I51" s="185"/>
      <c r="J51" s="185"/>
      <c r="K51" s="185"/>
      <c r="L51" s="185"/>
    </row>
    <row r="52" spans="5:12">
      <c r="E52" s="186"/>
      <c r="F52" s="186"/>
      <c r="G52" s="186"/>
      <c r="H52" s="186"/>
      <c r="I52" s="186"/>
      <c r="J52" s="186"/>
      <c r="K52" s="186"/>
      <c r="L52" s="186"/>
    </row>
    <row r="53" spans="5:12">
      <c r="E53" s="186"/>
      <c r="F53" s="186"/>
      <c r="G53" s="186"/>
      <c r="H53" s="186"/>
      <c r="I53" s="186"/>
      <c r="J53" s="186"/>
      <c r="K53" s="186"/>
      <c r="L53" s="186"/>
    </row>
  </sheetData>
  <sheetProtection sheet="1" objects="1" scenarios="1"/>
  <mergeCells count="21">
    <mergeCell ref="E49:L50"/>
    <mergeCell ref="E28:L28"/>
    <mergeCell ref="M2:M3"/>
    <mergeCell ref="E6:L6"/>
    <mergeCell ref="C16:D16"/>
    <mergeCell ref="E16:L16"/>
    <mergeCell ref="C18:D18"/>
    <mergeCell ref="E18:L18"/>
    <mergeCell ref="E8:L9"/>
    <mergeCell ref="E11:L11"/>
    <mergeCell ref="E31:L47"/>
    <mergeCell ref="C26:D26"/>
    <mergeCell ref="E26:L26"/>
    <mergeCell ref="E1:L4"/>
    <mergeCell ref="C20:D20"/>
    <mergeCell ref="E20:L20"/>
    <mergeCell ref="C28:D28"/>
    <mergeCell ref="C22:D22"/>
    <mergeCell ref="E22:L22"/>
    <mergeCell ref="C24:D24"/>
    <mergeCell ref="E24:L24"/>
  </mergeCells>
  <hyperlinks>
    <hyperlink ref="E16" location="'0_Datos generales organización'!A1" display="Datos generales de la organización"/>
    <hyperlink ref="E18" location="'1_Combustibles fósiles'!A1" display="Huella de carbono Alcance 1: Combustibles fósiles"/>
    <hyperlink ref="E22" location="'2_Fluorados'!A1" display="Huella de carbono Alcance 1: Fugas de gases fluorados (equipos de climatización y refrigeración)"/>
    <hyperlink ref="E24" location="'3_Emisiones proceso'!A1" display="Huella de carbono Alcance 1: Emisiones de proceso"/>
    <hyperlink ref="E28" location="'4.1_Electricidad Illes Balears'!A1" display="Huella de carbono Alcance 2: Electricidad registro balear"/>
    <hyperlink ref="E22:L22" location="'2.3 Emissions maquinària'!A1" display="Càpsula 2.2: Emissions de vehicles i maquinària"/>
    <hyperlink ref="E16:L16" location="'1. Dades generals del projecte'!A1" display="Dades generals del projecte"/>
    <hyperlink ref="E18:L18" location="'2.1 Absorcions arbres'!A1" display="Càpsula 1.1: Absorcions dels arbres plantats o procedents de regeneració natural    "/>
    <hyperlink ref="E24:L24" location="'2.4 Emissions crema restes'!A1" display="Càpsula 2.3: Emissions de CH4 i N2O per crema de restes de tallada"/>
    <hyperlink ref="E28:L28" location="'3. Resultats'!A1" display="Resultats d'absorcions del projecte"/>
    <hyperlink ref="E20" location="'2_Fluorados'!A1" display="Huella de carbono Alcance 1: Fugas de gases fluorados (equipos de climatización y refrigeración)"/>
    <hyperlink ref="E20:L20" location="'2.2 Emissions restes tallada'!A1" display="Càpsula 2.1: Emissions de CO2 per descomposició i crema de restes de tallada i arrels mortes"/>
    <hyperlink ref="E26" location="'4.1_Electricidad Illes Balears'!A1" display="Huella de carbono Alcance 2: Electricidad registro balear"/>
    <hyperlink ref="E26:L26" location="'2.5 Emissions productes'!A1" display="Càpsula 2.4: Emissions dels productes fusters"/>
  </hyperlinks>
  <pageMargins left="0.75" right="0.75" top="1" bottom="1" header="0.51180555555555496" footer="0.51180555555555496"/>
  <pageSetup paperSize="9" scale="45" firstPageNumber="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sheetPr codeName="Hoja2">
    <pageSetUpPr fitToPage="1"/>
  </sheetPr>
  <dimension ref="A1:ALZ281"/>
  <sheetViews>
    <sheetView topLeftCell="A13" zoomScaleNormal="100" workbookViewId="0">
      <pane xSplit="1" topLeftCell="B1" activePane="topRight" state="frozen"/>
      <selection pane="topRight" activeCell="G12" sqref="G12:M18"/>
    </sheetView>
  </sheetViews>
  <sheetFormatPr baseColWidth="10" defaultColWidth="9.140625" defaultRowHeight="15"/>
  <cols>
    <col min="1" max="1" width="55.7109375" style="45" customWidth="1"/>
    <col min="2" max="2" width="2.140625" style="45" customWidth="1"/>
    <col min="3" max="3" width="2.42578125" style="45" customWidth="1"/>
    <col min="4" max="4" width="9.42578125" style="45" customWidth="1"/>
    <col min="5" max="5" width="14.140625" style="45" customWidth="1"/>
    <col min="6" max="6" width="19.28515625" style="45" customWidth="1"/>
    <col min="7" max="7" width="20.42578125" style="45" customWidth="1"/>
    <col min="8" max="8" width="16.140625" style="45" customWidth="1"/>
    <col min="9" max="9" width="15.42578125" style="45" customWidth="1"/>
    <col min="10" max="10" width="15.140625" style="45" customWidth="1"/>
    <col min="11" max="11" width="15.7109375" style="45" customWidth="1"/>
    <col min="12" max="12" width="19.7109375" style="45" customWidth="1"/>
    <col min="13" max="13" width="22.42578125" style="45" customWidth="1"/>
    <col min="14" max="14" width="4.5703125" style="45" customWidth="1"/>
    <col min="15" max="15" width="17.5703125" style="45" customWidth="1"/>
    <col min="16" max="16" width="20.140625" style="45" customWidth="1"/>
    <col min="17" max="17" width="18.28515625" style="45" customWidth="1"/>
    <col min="18" max="18" width="3.140625" style="45" customWidth="1"/>
    <col min="19" max="1014" width="11.42578125" style="45"/>
    <col min="1015" max="16384" width="9.140625" style="46"/>
  </cols>
  <sheetData>
    <row r="1" spans="1:18" ht="40.700000000000003" customHeight="1">
      <c r="B1" s="3"/>
      <c r="C1" s="259" t="s">
        <v>111</v>
      </c>
      <c r="D1" s="260"/>
      <c r="E1" s="260"/>
      <c r="F1" s="260"/>
      <c r="G1" s="260"/>
      <c r="H1" s="260"/>
      <c r="I1" s="260"/>
      <c r="J1" s="260"/>
      <c r="K1" s="260"/>
      <c r="L1" s="260"/>
      <c r="M1" s="260"/>
      <c r="N1" s="260"/>
      <c r="O1" s="187"/>
      <c r="P1" s="187"/>
      <c r="Q1" s="187"/>
      <c r="R1" s="187"/>
    </row>
    <row r="2" spans="1:18" ht="24" customHeight="1">
      <c r="B2" s="3"/>
      <c r="D2" s="188"/>
      <c r="E2" s="188"/>
      <c r="F2" s="188"/>
      <c r="G2" s="188"/>
      <c r="H2" s="189"/>
      <c r="I2" s="189"/>
      <c r="J2" s="189"/>
      <c r="K2" s="189"/>
      <c r="L2" s="189"/>
      <c r="M2" s="189"/>
      <c r="N2" s="188"/>
    </row>
    <row r="3" spans="1:18" ht="16.5" customHeight="1">
      <c r="B3" s="3"/>
      <c r="D3" s="285" t="s">
        <v>221</v>
      </c>
      <c r="E3" s="285"/>
      <c r="F3" s="285"/>
      <c r="G3" s="285"/>
      <c r="H3" s="285"/>
      <c r="I3" s="285"/>
      <c r="J3" s="285"/>
      <c r="K3" s="285"/>
      <c r="L3" s="285"/>
      <c r="M3" s="285"/>
      <c r="N3" s="190"/>
    </row>
    <row r="4" spans="1:18" ht="16.5">
      <c r="A4" s="166" t="s">
        <v>171</v>
      </c>
      <c r="B4" s="3"/>
      <c r="D4" s="285"/>
      <c r="E4" s="285"/>
      <c r="F4" s="285"/>
      <c r="G4" s="285"/>
      <c r="H4" s="285"/>
      <c r="I4" s="285"/>
      <c r="J4" s="285"/>
      <c r="K4" s="285"/>
      <c r="L4" s="285"/>
      <c r="M4" s="285"/>
      <c r="N4" s="190"/>
    </row>
    <row r="5" spans="1:18" ht="16.5">
      <c r="A5" s="166" t="s">
        <v>172</v>
      </c>
      <c r="B5" s="3"/>
      <c r="D5" s="285"/>
      <c r="E5" s="285"/>
      <c r="F5" s="285"/>
      <c r="G5" s="285"/>
      <c r="H5" s="285"/>
      <c r="I5" s="285"/>
      <c r="J5" s="285"/>
      <c r="K5" s="285"/>
      <c r="L5" s="285"/>
      <c r="M5" s="285"/>
      <c r="N5" s="190"/>
    </row>
    <row r="6" spans="1:18" ht="18">
      <c r="A6" s="166" t="s">
        <v>219</v>
      </c>
      <c r="B6" s="3"/>
      <c r="D6" s="285"/>
      <c r="E6" s="285"/>
      <c r="F6" s="285"/>
      <c r="G6" s="285"/>
      <c r="H6" s="285"/>
      <c r="I6" s="285"/>
      <c r="J6" s="285"/>
      <c r="K6" s="285"/>
      <c r="L6" s="285"/>
      <c r="M6" s="285"/>
      <c r="N6" s="190"/>
    </row>
    <row r="7" spans="1:18" ht="16.5">
      <c r="A7" s="166" t="s">
        <v>173</v>
      </c>
      <c r="B7" s="3"/>
      <c r="D7" s="285"/>
      <c r="E7" s="285"/>
      <c r="F7" s="285"/>
      <c r="G7" s="285"/>
      <c r="H7" s="285"/>
      <c r="I7" s="285"/>
      <c r="J7" s="285"/>
      <c r="K7" s="285"/>
      <c r="L7" s="285"/>
      <c r="M7" s="285"/>
      <c r="N7" s="190"/>
    </row>
    <row r="8" spans="1:18" ht="18">
      <c r="A8" s="166" t="s">
        <v>220</v>
      </c>
      <c r="B8" s="3"/>
      <c r="D8" s="285"/>
      <c r="E8" s="285"/>
      <c r="F8" s="285"/>
      <c r="G8" s="285"/>
      <c r="H8" s="285"/>
      <c r="I8" s="285"/>
      <c r="J8" s="285"/>
      <c r="K8" s="285"/>
      <c r="L8" s="285"/>
      <c r="M8" s="285"/>
      <c r="N8" s="190"/>
    </row>
    <row r="9" spans="1:18" ht="16.5">
      <c r="A9" s="166" t="s">
        <v>174</v>
      </c>
      <c r="B9" s="3"/>
      <c r="D9" s="285"/>
      <c r="E9" s="285"/>
      <c r="F9" s="285"/>
      <c r="G9" s="285"/>
      <c r="H9" s="285"/>
      <c r="I9" s="285"/>
      <c r="J9" s="285"/>
      <c r="K9" s="285"/>
      <c r="L9" s="285"/>
      <c r="M9" s="285"/>
      <c r="N9" s="190"/>
    </row>
    <row r="10" spans="1:18" ht="16.5">
      <c r="A10" s="166" t="s">
        <v>175</v>
      </c>
      <c r="B10" s="3"/>
      <c r="D10" s="285"/>
      <c r="E10" s="285"/>
      <c r="F10" s="285"/>
      <c r="G10" s="285"/>
      <c r="H10" s="285"/>
      <c r="I10" s="285"/>
      <c r="J10" s="285"/>
      <c r="K10" s="285"/>
      <c r="L10" s="285"/>
      <c r="M10" s="285"/>
      <c r="N10" s="190"/>
    </row>
    <row r="11" spans="1:18" ht="16.5">
      <c r="A11" s="166"/>
      <c r="B11" s="3"/>
      <c r="D11" s="219"/>
      <c r="E11" s="219"/>
      <c r="F11" s="219"/>
      <c r="G11" s="219"/>
      <c r="H11" s="219"/>
      <c r="I11" s="219"/>
      <c r="J11" s="219"/>
      <c r="K11" s="219"/>
      <c r="L11" s="219"/>
      <c r="M11" s="219"/>
      <c r="N11" s="190"/>
    </row>
    <row r="12" spans="1:18" ht="66" customHeight="1">
      <c r="A12" s="166"/>
      <c r="B12" s="3"/>
      <c r="D12" s="219"/>
      <c r="E12" s="219"/>
      <c r="F12" s="219"/>
      <c r="G12" s="253" t="s">
        <v>224</v>
      </c>
      <c r="H12" s="253"/>
      <c r="I12" s="253"/>
      <c r="J12" s="253"/>
      <c r="K12" s="253"/>
      <c r="L12" s="253"/>
      <c r="M12" s="253"/>
      <c r="N12" s="190"/>
    </row>
    <row r="13" spans="1:18" ht="16.5">
      <c r="A13" s="166"/>
      <c r="B13" s="3"/>
      <c r="D13" s="219"/>
      <c r="E13" s="219"/>
      <c r="F13" s="219"/>
      <c r="G13" s="253"/>
      <c r="H13" s="253"/>
      <c r="I13" s="253"/>
      <c r="J13" s="253"/>
      <c r="K13" s="253"/>
      <c r="L13" s="253"/>
      <c r="M13" s="253"/>
      <c r="N13" s="190"/>
    </row>
    <row r="14" spans="1:18" ht="16.5">
      <c r="A14" s="166"/>
      <c r="B14" s="3"/>
      <c r="D14" s="219"/>
      <c r="E14" s="219"/>
      <c r="F14" s="219"/>
      <c r="G14" s="253"/>
      <c r="H14" s="253"/>
      <c r="I14" s="253"/>
      <c r="J14" s="253"/>
      <c r="K14" s="253"/>
      <c r="L14" s="253"/>
      <c r="M14" s="253"/>
      <c r="N14" s="190"/>
    </row>
    <row r="15" spans="1:18" ht="16.5">
      <c r="A15" s="166"/>
      <c r="B15" s="3"/>
      <c r="D15" s="219"/>
      <c r="E15" s="219"/>
      <c r="F15" s="219"/>
      <c r="G15" s="253"/>
      <c r="H15" s="253"/>
      <c r="I15" s="253"/>
      <c r="J15" s="253"/>
      <c r="K15" s="253"/>
      <c r="L15" s="253"/>
      <c r="M15" s="253"/>
      <c r="N15" s="190"/>
    </row>
    <row r="16" spans="1:18" ht="16.5">
      <c r="A16" s="166"/>
      <c r="B16" s="3"/>
      <c r="D16" s="219"/>
      <c r="E16" s="219"/>
      <c r="F16" s="219"/>
      <c r="G16" s="253"/>
      <c r="H16" s="253"/>
      <c r="I16" s="253"/>
      <c r="J16" s="253"/>
      <c r="K16" s="253"/>
      <c r="L16" s="253"/>
      <c r="M16" s="253"/>
      <c r="N16" s="190"/>
    </row>
    <row r="17" spans="1:17" ht="16.5">
      <c r="A17" s="166"/>
      <c r="B17" s="3"/>
      <c r="D17" s="219"/>
      <c r="E17" s="219"/>
      <c r="F17" s="219"/>
      <c r="G17" s="253"/>
      <c r="H17" s="253"/>
      <c r="I17" s="253"/>
      <c r="J17" s="253"/>
      <c r="K17" s="253"/>
      <c r="L17" s="253"/>
      <c r="M17" s="253"/>
      <c r="N17" s="190"/>
    </row>
    <row r="18" spans="1:17" ht="16.5">
      <c r="A18" s="166"/>
      <c r="B18" s="3"/>
      <c r="D18" s="219"/>
      <c r="E18" s="219"/>
      <c r="F18" s="219"/>
      <c r="G18" s="253"/>
      <c r="H18" s="253"/>
      <c r="I18" s="253"/>
      <c r="J18" s="253"/>
      <c r="K18" s="253"/>
      <c r="L18" s="253"/>
      <c r="M18" s="253"/>
      <c r="N18" s="190"/>
    </row>
    <row r="19" spans="1:17" ht="17.25" thickBot="1">
      <c r="A19" s="166"/>
      <c r="B19" s="3"/>
      <c r="D19" s="219"/>
      <c r="E19" s="219"/>
      <c r="F19" s="219"/>
      <c r="G19" s="219"/>
      <c r="H19" s="219"/>
      <c r="I19" s="219"/>
      <c r="J19" s="219"/>
      <c r="K19" s="219"/>
      <c r="L19" s="219"/>
      <c r="M19" s="219"/>
      <c r="N19" s="190"/>
    </row>
    <row r="20" spans="1:17" ht="16.5" customHeight="1" thickBot="1">
      <c r="A20" s="5"/>
      <c r="B20" s="4"/>
      <c r="D20" s="261" t="s">
        <v>177</v>
      </c>
      <c r="E20" s="262"/>
      <c r="F20" s="263"/>
      <c r="G20" s="287"/>
      <c r="H20" s="288"/>
      <c r="I20" s="288"/>
      <c r="J20" s="288"/>
      <c r="K20" s="288"/>
      <c r="L20" s="288"/>
      <c r="M20" s="289"/>
      <c r="O20" s="303" t="s">
        <v>6</v>
      </c>
      <c r="P20" s="303"/>
      <c r="Q20" s="303"/>
    </row>
    <row r="21" spans="1:17" ht="17.25" thickBot="1">
      <c r="A21" s="5"/>
      <c r="B21" s="4"/>
      <c r="H21" s="47"/>
      <c r="I21" s="47"/>
      <c r="M21" s="47"/>
    </row>
    <row r="22" spans="1:17" ht="18.75" customHeight="1" thickBot="1">
      <c r="A22" s="5"/>
      <c r="B22" s="4"/>
      <c r="D22" s="268" t="s">
        <v>176</v>
      </c>
      <c r="E22" s="269"/>
      <c r="F22" s="269"/>
      <c r="G22" s="269"/>
      <c r="H22" s="269"/>
      <c r="I22" s="269"/>
      <c r="J22" s="269"/>
      <c r="K22" s="264" t="s">
        <v>7</v>
      </c>
      <c r="L22" s="264"/>
      <c r="M22" s="265"/>
      <c r="O22" s="52" t="s">
        <v>8</v>
      </c>
      <c r="P22" s="52" t="s">
        <v>7</v>
      </c>
      <c r="Q22" s="52" t="s">
        <v>9</v>
      </c>
    </row>
    <row r="23" spans="1:17" ht="16.350000000000001" customHeight="1" thickBot="1">
      <c r="B23" s="4"/>
      <c r="D23" s="270"/>
      <c r="E23" s="266"/>
      <c r="F23" s="266"/>
      <c r="G23" s="266"/>
      <c r="H23" s="266"/>
      <c r="I23" s="266"/>
      <c r="J23" s="266"/>
      <c r="K23" s="266"/>
      <c r="L23" s="266"/>
      <c r="M23" s="267"/>
      <c r="O23" s="81"/>
      <c r="P23" s="81"/>
      <c r="Q23" s="81"/>
    </row>
    <row r="24" spans="1:17" ht="16.350000000000001" customHeight="1" thickBot="1">
      <c r="J24" s="47"/>
      <c r="O24" s="81"/>
      <c r="P24" s="81"/>
      <c r="Q24" s="81"/>
    </row>
    <row r="25" spans="1:17" ht="16.5" customHeight="1" thickBot="1">
      <c r="D25" s="261" t="s">
        <v>10</v>
      </c>
      <c r="E25" s="262"/>
      <c r="F25" s="262"/>
      <c r="G25" s="262" t="s">
        <v>11</v>
      </c>
      <c r="H25" s="262"/>
      <c r="I25" s="262"/>
      <c r="J25" s="262"/>
      <c r="K25" s="262" t="s">
        <v>179</v>
      </c>
      <c r="L25" s="262"/>
      <c r="M25" s="263"/>
      <c r="O25" s="81"/>
      <c r="P25" s="81"/>
      <c r="Q25" s="81"/>
    </row>
    <row r="26" spans="1:17" ht="16.5" customHeight="1" thickBot="1">
      <c r="D26" s="271"/>
      <c r="E26" s="272"/>
      <c r="F26" s="272"/>
      <c r="G26" s="272"/>
      <c r="H26" s="272"/>
      <c r="I26" s="272"/>
      <c r="J26" s="272"/>
      <c r="K26" s="272"/>
      <c r="L26" s="272"/>
      <c r="M26" s="273"/>
      <c r="O26" s="81"/>
      <c r="P26" s="81"/>
      <c r="Q26" s="81"/>
    </row>
    <row r="27" spans="1:17" ht="17.25" customHeight="1" thickBot="1">
      <c r="O27" s="81"/>
      <c r="P27" s="81"/>
      <c r="Q27" s="81"/>
    </row>
    <row r="28" spans="1:17" ht="17.25" customHeight="1">
      <c r="D28" s="310" t="s">
        <v>200</v>
      </c>
      <c r="E28" s="311"/>
      <c r="F28" s="314" t="s">
        <v>201</v>
      </c>
      <c r="G28" s="311"/>
      <c r="H28" s="314" t="s">
        <v>182</v>
      </c>
      <c r="I28" s="311"/>
      <c r="J28" s="316" t="s">
        <v>202</v>
      </c>
      <c r="K28" s="317"/>
      <c r="L28" s="314" t="s">
        <v>203</v>
      </c>
      <c r="M28" s="320"/>
      <c r="O28" s="81"/>
      <c r="P28" s="81"/>
      <c r="Q28" s="81"/>
    </row>
    <row r="29" spans="1:17" ht="17.25" customHeight="1" thickBot="1">
      <c r="A29" s="5"/>
      <c r="D29" s="312"/>
      <c r="E29" s="313"/>
      <c r="F29" s="315"/>
      <c r="G29" s="313"/>
      <c r="H29" s="315"/>
      <c r="I29" s="313"/>
      <c r="J29" s="318"/>
      <c r="K29" s="319"/>
      <c r="L29" s="315"/>
      <c r="M29" s="321"/>
      <c r="O29" s="81"/>
      <c r="P29" s="81"/>
      <c r="Q29" s="81"/>
    </row>
    <row r="30" spans="1:17" ht="16.5">
      <c r="D30" s="328"/>
      <c r="E30" s="326"/>
      <c r="F30" s="326"/>
      <c r="G30" s="326"/>
      <c r="H30" s="327"/>
      <c r="I30" s="327"/>
      <c r="J30" s="326"/>
      <c r="K30" s="326"/>
      <c r="L30" s="299" t="str">
        <f>'2.1 Absorcions arbres'!G7</f>
        <v/>
      </c>
      <c r="M30" s="300"/>
      <c r="O30" s="81"/>
      <c r="P30" s="81"/>
      <c r="Q30" s="81"/>
    </row>
    <row r="31" spans="1:17" ht="16.5">
      <c r="D31" s="283"/>
      <c r="E31" s="284"/>
      <c r="F31" s="284"/>
      <c r="G31" s="284"/>
      <c r="H31" s="329"/>
      <c r="I31" s="329"/>
      <c r="J31" s="284"/>
      <c r="K31" s="284"/>
      <c r="L31" s="330" t="str">
        <f>'2.1 Absorcions arbres'!G17</f>
        <v/>
      </c>
      <c r="M31" s="331"/>
      <c r="O31" s="81"/>
      <c r="P31" s="81"/>
      <c r="Q31" s="81"/>
    </row>
    <row r="32" spans="1:17" ht="16.5">
      <c r="A32" s="5"/>
      <c r="D32" s="332"/>
      <c r="E32" s="301"/>
      <c r="F32" s="301"/>
      <c r="G32" s="301"/>
      <c r="H32" s="302"/>
      <c r="I32" s="302"/>
      <c r="J32" s="301"/>
      <c r="K32" s="301"/>
      <c r="L32" s="324" t="str">
        <f>'2.1 Absorcions arbres'!G27</f>
        <v/>
      </c>
      <c r="M32" s="325"/>
      <c r="O32" s="81"/>
      <c r="P32" s="81"/>
      <c r="Q32" s="81"/>
    </row>
    <row r="33" spans="1:20" ht="16.5">
      <c r="A33" s="5"/>
      <c r="D33" s="322"/>
      <c r="E33" s="290"/>
      <c r="F33" s="290"/>
      <c r="G33" s="290"/>
      <c r="H33" s="323"/>
      <c r="I33" s="323"/>
      <c r="J33" s="290"/>
      <c r="K33" s="290"/>
      <c r="L33" s="291" t="str">
        <f>'2.1 Absorcions arbres'!G37</f>
        <v/>
      </c>
      <c r="M33" s="292"/>
    </row>
    <row r="34" spans="1:20" ht="17.25" thickBot="1">
      <c r="D34" s="293"/>
      <c r="E34" s="294"/>
      <c r="F34" s="295"/>
      <c r="G34" s="295"/>
      <c r="H34" s="296"/>
      <c r="I34" s="296"/>
      <c r="J34" s="295"/>
      <c r="K34" s="295"/>
      <c r="L34" s="297" t="str">
        <f>'2.1 Absorcions arbres'!G47</f>
        <v/>
      </c>
      <c r="M34" s="298"/>
    </row>
    <row r="35" spans="1:20" ht="17.25" thickBot="1">
      <c r="D35" s="306" t="s">
        <v>15</v>
      </c>
      <c r="E35" s="307"/>
      <c r="F35" s="308" t="s">
        <v>14</v>
      </c>
      <c r="G35" s="308"/>
      <c r="H35" s="305" t="str">
        <f>IF(SUM(H30:I34)=0,"",SUM(H30:I34))</f>
        <v/>
      </c>
      <c r="I35" s="305"/>
      <c r="J35" s="308" t="s">
        <v>14</v>
      </c>
      <c r="K35" s="308"/>
      <c r="L35" s="308" t="s">
        <v>14</v>
      </c>
      <c r="M35" s="309"/>
    </row>
    <row r="36" spans="1:20">
      <c r="D36" s="52"/>
      <c r="E36" s="81"/>
      <c r="F36" s="81"/>
      <c r="G36" s="81"/>
      <c r="H36" s="81"/>
      <c r="I36" s="81"/>
      <c r="J36" s="81"/>
      <c r="K36" s="81"/>
      <c r="L36" s="191"/>
      <c r="M36" s="81"/>
    </row>
    <row r="37" spans="1:20">
      <c r="D37" s="274" t="s">
        <v>222</v>
      </c>
      <c r="E37" s="275"/>
      <c r="F37" s="275"/>
      <c r="G37" s="275"/>
      <c r="H37" s="275"/>
      <c r="I37" s="275"/>
      <c r="J37" s="275"/>
      <c r="K37" s="275"/>
      <c r="L37" s="275"/>
      <c r="M37" s="276"/>
    </row>
    <row r="38" spans="1:20">
      <c r="D38" s="277"/>
      <c r="E38" s="278"/>
      <c r="F38" s="278"/>
      <c r="G38" s="278"/>
      <c r="H38" s="278"/>
      <c r="I38" s="278"/>
      <c r="J38" s="278"/>
      <c r="K38" s="278"/>
      <c r="L38" s="278"/>
      <c r="M38" s="279"/>
    </row>
    <row r="39" spans="1:20">
      <c r="D39" s="277"/>
      <c r="E39" s="278"/>
      <c r="F39" s="278"/>
      <c r="G39" s="278"/>
      <c r="H39" s="278"/>
      <c r="I39" s="278"/>
      <c r="J39" s="278"/>
      <c r="K39" s="278"/>
      <c r="L39" s="278"/>
      <c r="M39" s="279"/>
    </row>
    <row r="40" spans="1:20">
      <c r="D40" s="277"/>
      <c r="E40" s="278"/>
      <c r="F40" s="278"/>
      <c r="G40" s="278"/>
      <c r="H40" s="278"/>
      <c r="I40" s="278"/>
      <c r="J40" s="278"/>
      <c r="K40" s="278"/>
      <c r="L40" s="278"/>
      <c r="M40" s="279"/>
    </row>
    <row r="41" spans="1:20" ht="15.75" customHeight="1">
      <c r="D41" s="277"/>
      <c r="E41" s="278"/>
      <c r="F41" s="278"/>
      <c r="G41" s="278"/>
      <c r="H41" s="278"/>
      <c r="I41" s="278"/>
      <c r="J41" s="278"/>
      <c r="K41" s="278"/>
      <c r="L41" s="278"/>
      <c r="M41" s="279"/>
    </row>
    <row r="42" spans="1:20">
      <c r="D42" s="280"/>
      <c r="E42" s="281"/>
      <c r="F42" s="281"/>
      <c r="G42" s="281"/>
      <c r="H42" s="281"/>
      <c r="I42" s="281"/>
      <c r="J42" s="281"/>
      <c r="K42" s="281"/>
      <c r="L42" s="281"/>
      <c r="M42" s="282"/>
    </row>
    <row r="43" spans="1:20">
      <c r="D43" s="52">
        <v>12</v>
      </c>
      <c r="E43" s="52"/>
      <c r="F43" s="52"/>
      <c r="G43" s="52"/>
      <c r="H43" s="52"/>
      <c r="I43" s="52"/>
      <c r="J43" s="52"/>
      <c r="K43" s="52"/>
      <c r="L43" s="52"/>
      <c r="M43" s="52"/>
      <c r="N43" s="52"/>
      <c r="O43" s="52"/>
      <c r="P43" s="52"/>
      <c r="Q43" s="52"/>
      <c r="R43" s="52"/>
      <c r="S43" s="52"/>
      <c r="T43" s="52"/>
    </row>
    <row r="44" spans="1:20">
      <c r="D44" s="52">
        <v>13</v>
      </c>
      <c r="E44" s="52"/>
      <c r="F44" s="52"/>
      <c r="G44" s="52"/>
      <c r="H44" s="52"/>
      <c r="I44" s="52"/>
      <c r="J44" s="52"/>
      <c r="K44" s="52"/>
      <c r="L44" s="52"/>
      <c r="M44" s="52"/>
      <c r="N44" s="52"/>
      <c r="O44" s="52"/>
      <c r="P44" s="52"/>
      <c r="Q44" s="52"/>
      <c r="R44" s="52"/>
      <c r="S44" s="52"/>
      <c r="T44" s="52"/>
    </row>
    <row r="45" spans="1:20">
      <c r="D45" s="52">
        <v>14</v>
      </c>
      <c r="E45" s="52"/>
      <c r="F45" s="52"/>
      <c r="G45" s="52"/>
      <c r="H45" s="52"/>
      <c r="I45" s="52"/>
      <c r="J45" s="52"/>
      <c r="K45" s="52"/>
      <c r="L45" s="52"/>
      <c r="M45" s="52"/>
      <c r="N45" s="52"/>
      <c r="O45" s="52"/>
      <c r="P45" s="52"/>
      <c r="Q45" s="52"/>
      <c r="R45" s="52"/>
      <c r="S45" s="52"/>
      <c r="T45" s="52"/>
    </row>
    <row r="46" spans="1:20">
      <c r="D46" s="52">
        <v>15</v>
      </c>
      <c r="E46" s="52"/>
      <c r="F46" s="52"/>
      <c r="G46" s="52"/>
      <c r="H46" s="52"/>
      <c r="I46" s="52"/>
      <c r="J46" s="52"/>
      <c r="K46" s="52"/>
      <c r="L46" s="52"/>
      <c r="M46" s="52"/>
      <c r="N46" s="52"/>
      <c r="O46" s="52"/>
      <c r="P46" s="52"/>
      <c r="Q46" s="52"/>
      <c r="R46" s="52"/>
      <c r="S46" s="52"/>
      <c r="T46" s="52"/>
    </row>
    <row r="47" spans="1:20">
      <c r="D47" s="52">
        <v>16</v>
      </c>
      <c r="E47" s="52"/>
      <c r="F47" s="52"/>
      <c r="G47" s="52"/>
      <c r="H47" s="52"/>
      <c r="I47" s="52"/>
      <c r="J47" s="52"/>
      <c r="K47" s="52"/>
      <c r="L47" s="52"/>
      <c r="M47" s="52"/>
      <c r="N47" s="52"/>
      <c r="O47" s="52"/>
      <c r="P47" s="52"/>
      <c r="Q47" s="52"/>
      <c r="R47" s="52"/>
      <c r="S47" s="52"/>
      <c r="T47" s="52"/>
    </row>
    <row r="48" spans="1:20">
      <c r="D48" s="52">
        <v>17</v>
      </c>
      <c r="E48" s="52"/>
      <c r="F48" s="52"/>
      <c r="G48" s="52"/>
      <c r="H48" s="52"/>
      <c r="I48" s="52"/>
      <c r="J48" s="52"/>
      <c r="K48" s="52"/>
      <c r="L48" s="52"/>
      <c r="M48" s="52"/>
      <c r="N48" s="52"/>
      <c r="O48" s="52"/>
      <c r="P48" s="52"/>
      <c r="Q48" s="52"/>
      <c r="R48" s="52"/>
      <c r="S48" s="52"/>
      <c r="T48" s="52"/>
    </row>
    <row r="49" spans="3:20">
      <c r="C49" s="49"/>
      <c r="D49" s="52">
        <v>18</v>
      </c>
      <c r="E49" s="52"/>
      <c r="F49" s="52"/>
      <c r="G49" s="52"/>
      <c r="H49" s="52"/>
      <c r="I49" s="52"/>
      <c r="J49" s="52"/>
      <c r="K49" s="52"/>
      <c r="L49" s="52"/>
      <c r="M49" s="52"/>
      <c r="N49" s="52"/>
      <c r="O49" s="52"/>
      <c r="P49" s="52"/>
      <c r="Q49" s="52"/>
      <c r="R49" s="52"/>
      <c r="S49" s="52"/>
      <c r="T49" s="52"/>
    </row>
    <row r="50" spans="3:20">
      <c r="D50" s="52">
        <v>19</v>
      </c>
      <c r="E50" s="52"/>
      <c r="F50" s="52"/>
      <c r="G50" s="52"/>
      <c r="H50" s="52"/>
      <c r="I50" s="52"/>
      <c r="J50" s="52"/>
      <c r="K50" s="52"/>
      <c r="L50" s="52"/>
      <c r="M50" s="52"/>
      <c r="N50" s="52"/>
      <c r="O50" s="52"/>
      <c r="P50" s="52"/>
      <c r="Q50" s="52"/>
      <c r="R50" s="52"/>
      <c r="S50" s="52"/>
      <c r="T50" s="52"/>
    </row>
    <row r="51" spans="3:20">
      <c r="D51" s="52">
        <v>20</v>
      </c>
      <c r="E51" s="52"/>
      <c r="F51" s="52"/>
      <c r="G51" s="52"/>
      <c r="H51" s="52"/>
      <c r="I51" s="52"/>
      <c r="J51" s="52"/>
      <c r="K51" s="52"/>
      <c r="L51" s="52"/>
      <c r="M51" s="52"/>
      <c r="N51" s="52"/>
      <c r="O51" s="52"/>
      <c r="P51" s="52"/>
      <c r="Q51" s="52"/>
      <c r="R51" s="52"/>
      <c r="S51" s="52"/>
      <c r="T51" s="52"/>
    </row>
    <row r="52" spans="3:20">
      <c r="D52" s="52">
        <v>21</v>
      </c>
      <c r="E52" s="52"/>
      <c r="F52" s="52"/>
      <c r="G52" s="52"/>
      <c r="H52" s="52"/>
      <c r="I52" s="52"/>
      <c r="J52" s="52"/>
      <c r="K52" s="52"/>
      <c r="L52" s="52"/>
      <c r="M52" s="52"/>
      <c r="N52" s="52"/>
      <c r="O52" s="52"/>
      <c r="P52" s="52"/>
      <c r="Q52" s="52"/>
      <c r="R52" s="52"/>
      <c r="S52" s="52"/>
      <c r="T52" s="52"/>
    </row>
    <row r="53" spans="3:20">
      <c r="D53" s="52">
        <v>22</v>
      </c>
      <c r="E53" s="52"/>
      <c r="F53" s="52"/>
      <c r="G53" s="52"/>
      <c r="H53" s="52"/>
      <c r="I53" s="52"/>
      <c r="J53" s="52"/>
      <c r="K53" s="52"/>
      <c r="L53" s="52"/>
      <c r="M53" s="52"/>
      <c r="N53" s="52"/>
      <c r="O53" s="52"/>
      <c r="P53" s="52"/>
      <c r="Q53" s="52"/>
      <c r="R53" s="52"/>
      <c r="S53" s="52"/>
      <c r="T53" s="52"/>
    </row>
    <row r="54" spans="3:20">
      <c r="D54" s="52">
        <v>23</v>
      </c>
      <c r="E54" s="52"/>
      <c r="F54" s="52"/>
      <c r="G54" s="52"/>
      <c r="H54" s="52"/>
      <c r="I54" s="52"/>
      <c r="J54" s="52"/>
      <c r="K54" s="52"/>
      <c r="L54" s="52"/>
      <c r="M54" s="52"/>
      <c r="N54" s="52"/>
      <c r="O54" s="52"/>
      <c r="P54" s="52"/>
      <c r="Q54" s="52"/>
      <c r="R54" s="52"/>
      <c r="S54" s="52"/>
      <c r="T54" s="52"/>
    </row>
    <row r="55" spans="3:20">
      <c r="D55" s="52">
        <v>24</v>
      </c>
      <c r="E55" s="52"/>
      <c r="F55" s="52"/>
      <c r="G55" s="52"/>
      <c r="H55" s="52"/>
      <c r="I55" s="52"/>
      <c r="J55" s="52"/>
      <c r="K55" s="52"/>
      <c r="L55" s="52"/>
      <c r="M55" s="52"/>
      <c r="N55" s="52"/>
      <c r="O55" s="52"/>
      <c r="P55" s="52"/>
      <c r="Q55" s="52"/>
      <c r="R55" s="52"/>
      <c r="S55" s="52"/>
      <c r="T55" s="52"/>
    </row>
    <row r="56" spans="3:20">
      <c r="D56" s="52">
        <v>25</v>
      </c>
      <c r="E56" s="52"/>
      <c r="F56" s="52"/>
      <c r="G56" s="52"/>
      <c r="H56" s="52"/>
      <c r="I56" s="52"/>
      <c r="J56" s="52"/>
      <c r="K56" s="52"/>
      <c r="L56" s="52"/>
      <c r="M56" s="52"/>
      <c r="N56" s="52"/>
      <c r="O56" s="52"/>
      <c r="P56" s="52"/>
      <c r="Q56" s="52"/>
      <c r="R56" s="52"/>
      <c r="S56" s="52"/>
      <c r="T56" s="52"/>
    </row>
    <row r="57" spans="3:20">
      <c r="D57" s="52">
        <v>26</v>
      </c>
      <c r="E57" s="52"/>
      <c r="F57" s="52"/>
      <c r="G57" s="52"/>
      <c r="H57" s="52"/>
      <c r="I57" s="52"/>
      <c r="J57" s="52"/>
      <c r="K57" s="52"/>
      <c r="L57" s="52"/>
      <c r="M57" s="52"/>
      <c r="N57" s="52"/>
      <c r="O57" s="52"/>
      <c r="P57" s="52"/>
      <c r="Q57" s="52"/>
      <c r="R57" s="52"/>
      <c r="S57" s="52"/>
      <c r="T57" s="52"/>
    </row>
    <row r="58" spans="3:20">
      <c r="D58" s="52">
        <v>27</v>
      </c>
      <c r="E58" s="52"/>
      <c r="F58" s="52"/>
      <c r="G58" s="52"/>
      <c r="H58" s="52"/>
      <c r="I58" s="52"/>
      <c r="J58" s="52"/>
      <c r="K58" s="52"/>
      <c r="L58" s="52"/>
      <c r="M58" s="52"/>
      <c r="N58" s="52"/>
      <c r="O58" s="52"/>
      <c r="P58" s="52"/>
      <c r="Q58" s="52"/>
      <c r="R58" s="52"/>
      <c r="S58" s="52"/>
      <c r="T58" s="52"/>
    </row>
    <row r="59" spans="3:20">
      <c r="D59" s="52">
        <v>28</v>
      </c>
      <c r="E59" s="52"/>
      <c r="F59" s="52"/>
      <c r="G59" s="52"/>
      <c r="H59" s="52"/>
      <c r="I59" s="52"/>
      <c r="J59" s="52"/>
      <c r="K59" s="52"/>
      <c r="L59" s="52"/>
      <c r="M59" s="52"/>
      <c r="N59" s="52"/>
      <c r="O59" s="52"/>
      <c r="P59" s="52"/>
      <c r="Q59" s="52"/>
      <c r="R59" s="52"/>
      <c r="S59" s="52"/>
      <c r="T59" s="52"/>
    </row>
    <row r="60" spans="3:20">
      <c r="D60" s="52">
        <v>29</v>
      </c>
      <c r="E60" s="52"/>
      <c r="F60" s="52"/>
      <c r="G60" s="52"/>
      <c r="H60" s="52"/>
      <c r="I60" s="52"/>
      <c r="J60" s="52"/>
      <c r="K60" s="52"/>
      <c r="L60" s="52"/>
      <c r="M60" s="52"/>
      <c r="N60" s="52"/>
      <c r="O60" s="52"/>
      <c r="P60" s="52"/>
      <c r="Q60" s="52"/>
      <c r="R60" s="52"/>
      <c r="S60" s="52"/>
      <c r="T60" s="52"/>
    </row>
    <row r="61" spans="3:20">
      <c r="D61" s="52">
        <v>30</v>
      </c>
      <c r="E61" s="52"/>
      <c r="F61" s="52"/>
      <c r="G61" s="52"/>
      <c r="H61" s="52"/>
      <c r="I61" s="52"/>
      <c r="J61" s="52"/>
      <c r="K61" s="52"/>
      <c r="L61" s="52"/>
      <c r="M61" s="52"/>
      <c r="N61" s="52"/>
      <c r="O61" s="52"/>
      <c r="P61" s="52"/>
      <c r="Q61" s="52"/>
      <c r="R61" s="52"/>
      <c r="S61" s="52"/>
      <c r="T61" s="52"/>
    </row>
    <row r="62" spans="3:20">
      <c r="D62" s="52">
        <v>31</v>
      </c>
      <c r="E62" s="286"/>
      <c r="F62" s="286"/>
      <c r="G62" s="81"/>
      <c r="H62" s="81"/>
      <c r="I62" s="81"/>
      <c r="J62" s="81"/>
      <c r="K62" s="81"/>
      <c r="L62" s="191"/>
      <c r="M62" s="81"/>
    </row>
    <row r="63" spans="3:20">
      <c r="D63" s="52">
        <v>32</v>
      </c>
      <c r="E63" s="286"/>
      <c r="F63" s="286"/>
      <c r="G63" s="81"/>
      <c r="H63" s="81"/>
      <c r="I63" s="81"/>
      <c r="J63" s="81"/>
      <c r="K63" s="81"/>
      <c r="L63" s="191"/>
      <c r="M63" s="81"/>
    </row>
    <row r="64" spans="3:20">
      <c r="D64" s="52">
        <v>33</v>
      </c>
      <c r="E64" s="286"/>
      <c r="F64" s="286"/>
      <c r="G64" s="81"/>
      <c r="H64" s="81"/>
      <c r="I64" s="81"/>
      <c r="J64" s="81"/>
      <c r="K64" s="81"/>
      <c r="L64" s="191"/>
      <c r="M64" s="81"/>
    </row>
    <row r="65" spans="3:13">
      <c r="D65" s="52">
        <v>34</v>
      </c>
      <c r="E65" s="286"/>
      <c r="F65" s="286"/>
      <c r="G65" s="81"/>
      <c r="H65" s="81"/>
      <c r="I65" s="81"/>
      <c r="J65" s="81"/>
      <c r="K65" s="81"/>
      <c r="L65" s="191"/>
      <c r="M65" s="81"/>
    </row>
    <row r="66" spans="3:13">
      <c r="D66" s="52">
        <v>35</v>
      </c>
      <c r="E66" s="286"/>
      <c r="F66" s="286"/>
      <c r="G66" s="81"/>
      <c r="H66" s="81"/>
      <c r="I66" s="81"/>
      <c r="J66" s="81"/>
      <c r="K66" s="81"/>
      <c r="L66" s="191"/>
      <c r="M66" s="81"/>
    </row>
    <row r="67" spans="3:13">
      <c r="D67" s="52">
        <v>36</v>
      </c>
      <c r="E67" s="286"/>
      <c r="F67" s="286"/>
      <c r="G67" s="81"/>
      <c r="H67" s="81"/>
      <c r="I67" s="81"/>
      <c r="J67" s="81"/>
      <c r="K67" s="81"/>
      <c r="L67" s="191"/>
      <c r="M67" s="81"/>
    </row>
    <row r="68" spans="3:13">
      <c r="D68" s="52">
        <v>37</v>
      </c>
      <c r="E68" s="286"/>
      <c r="F68" s="286"/>
      <c r="G68" s="81"/>
      <c r="H68" s="81"/>
      <c r="I68" s="81"/>
      <c r="J68" s="81"/>
      <c r="K68" s="81"/>
      <c r="L68" s="191"/>
      <c r="M68" s="81"/>
    </row>
    <row r="69" spans="3:13">
      <c r="D69" s="52">
        <v>38</v>
      </c>
      <c r="E69" s="286"/>
      <c r="F69" s="286"/>
      <c r="G69" s="81"/>
      <c r="H69" s="81"/>
      <c r="I69" s="81"/>
      <c r="J69" s="81"/>
      <c r="K69" s="81"/>
      <c r="L69" s="191"/>
      <c r="M69" s="81"/>
    </row>
    <row r="70" spans="3:13">
      <c r="D70" s="52">
        <v>39</v>
      </c>
      <c r="E70" s="286"/>
      <c r="F70" s="286"/>
      <c r="G70" s="81"/>
      <c r="H70" s="81"/>
      <c r="I70" s="81"/>
      <c r="J70" s="81"/>
      <c r="K70" s="81"/>
      <c r="L70" s="191"/>
      <c r="M70" s="81"/>
    </row>
    <row r="71" spans="3:13">
      <c r="D71" s="52">
        <v>40</v>
      </c>
      <c r="E71" s="286"/>
      <c r="F71" s="286"/>
      <c r="G71" s="81"/>
      <c r="H71" s="81"/>
      <c r="I71" s="81"/>
      <c r="J71" s="81"/>
      <c r="K71" s="81"/>
      <c r="L71" s="191"/>
      <c r="M71" s="81"/>
    </row>
    <row r="72" spans="3:13">
      <c r="D72" s="52">
        <v>41</v>
      </c>
      <c r="E72" s="286"/>
      <c r="F72" s="286"/>
      <c r="G72" s="81"/>
      <c r="H72" s="81"/>
      <c r="I72" s="81"/>
      <c r="J72" s="81"/>
      <c r="K72" s="81"/>
      <c r="L72" s="191"/>
      <c r="M72" s="81"/>
    </row>
    <row r="73" spans="3:13">
      <c r="D73" s="52">
        <v>42</v>
      </c>
      <c r="E73" s="286"/>
      <c r="F73" s="286"/>
      <c r="G73" s="81"/>
      <c r="H73" s="81"/>
      <c r="I73" s="81"/>
      <c r="J73" s="81"/>
      <c r="K73" s="81"/>
      <c r="L73" s="191"/>
      <c r="M73" s="81"/>
    </row>
    <row r="74" spans="3:13">
      <c r="D74" s="52">
        <v>43</v>
      </c>
      <c r="E74" s="286"/>
      <c r="F74" s="286"/>
      <c r="G74" s="81"/>
      <c r="H74" s="81"/>
      <c r="I74" s="81"/>
      <c r="J74" s="81"/>
      <c r="K74" s="81"/>
      <c r="L74" s="191"/>
      <c r="M74" s="81"/>
    </row>
    <row r="75" spans="3:13">
      <c r="D75" s="52">
        <v>44</v>
      </c>
      <c r="E75" s="286"/>
      <c r="F75" s="286"/>
      <c r="G75" s="81"/>
      <c r="H75" s="81"/>
      <c r="I75" s="81"/>
      <c r="J75" s="81"/>
      <c r="K75" s="81"/>
      <c r="L75" s="191"/>
      <c r="M75" s="81"/>
    </row>
    <row r="76" spans="3:13">
      <c r="C76" s="51"/>
      <c r="D76" s="52">
        <v>45</v>
      </c>
      <c r="E76" s="286"/>
      <c r="F76" s="286"/>
      <c r="G76" s="81"/>
      <c r="H76" s="81"/>
      <c r="I76" s="81"/>
      <c r="J76" s="81"/>
      <c r="K76" s="81"/>
      <c r="L76" s="191"/>
      <c r="M76" s="81"/>
    </row>
    <row r="77" spans="3:13">
      <c r="C77" s="51"/>
      <c r="D77" s="52">
        <v>46</v>
      </c>
      <c r="E77" s="286"/>
      <c r="F77" s="286"/>
      <c r="G77" s="81"/>
      <c r="H77" s="81"/>
      <c r="I77" s="81"/>
      <c r="J77" s="81"/>
      <c r="K77" s="81"/>
      <c r="L77" s="191"/>
      <c r="M77" s="81"/>
    </row>
    <row r="78" spans="3:13">
      <c r="C78" s="51"/>
      <c r="D78" s="52">
        <v>47</v>
      </c>
      <c r="E78" s="286"/>
      <c r="F78" s="286"/>
      <c r="G78" s="81"/>
      <c r="H78" s="81"/>
      <c r="I78" s="81"/>
      <c r="J78" s="81"/>
      <c r="K78" s="81"/>
      <c r="L78" s="191"/>
      <c r="M78" s="81"/>
    </row>
    <row r="79" spans="3:13">
      <c r="C79" s="51"/>
      <c r="D79" s="52">
        <v>48</v>
      </c>
      <c r="E79" s="286"/>
      <c r="F79" s="286"/>
      <c r="G79" s="81"/>
      <c r="H79" s="81"/>
      <c r="I79" s="81"/>
      <c r="J79" s="81"/>
      <c r="K79" s="81"/>
      <c r="L79" s="191"/>
      <c r="M79" s="81"/>
    </row>
    <row r="80" spans="3:13">
      <c r="C80" s="51"/>
      <c r="D80" s="52">
        <v>49</v>
      </c>
      <c r="E80" s="286"/>
      <c r="F80" s="286"/>
      <c r="G80" s="81"/>
      <c r="H80" s="81"/>
      <c r="I80" s="81"/>
      <c r="J80" s="81"/>
      <c r="K80" s="81"/>
      <c r="L80" s="191"/>
      <c r="M80" s="81"/>
    </row>
    <row r="81" spans="3:13">
      <c r="C81" s="51"/>
      <c r="D81" s="52">
        <v>50</v>
      </c>
      <c r="E81" s="286"/>
      <c r="F81" s="286"/>
      <c r="G81" s="81"/>
      <c r="H81" s="81"/>
      <c r="I81" s="81"/>
      <c r="J81" s="81"/>
      <c r="K81" s="81"/>
      <c r="L81" s="191"/>
      <c r="M81" s="81"/>
    </row>
    <row r="82" spans="3:13">
      <c r="C82" s="51"/>
      <c r="D82" s="52">
        <v>51</v>
      </c>
      <c r="E82" s="286"/>
      <c r="F82" s="286"/>
      <c r="G82" s="81"/>
      <c r="H82" s="81"/>
      <c r="I82" s="81"/>
      <c r="J82" s="81"/>
      <c r="K82" s="81"/>
      <c r="L82" s="191"/>
      <c r="M82" s="81"/>
    </row>
    <row r="83" spans="3:13">
      <c r="C83" s="51"/>
      <c r="D83" s="52">
        <v>52</v>
      </c>
      <c r="E83" s="286"/>
      <c r="F83" s="286"/>
      <c r="G83" s="81"/>
      <c r="H83" s="81"/>
      <c r="I83" s="81"/>
      <c r="J83" s="81"/>
      <c r="K83" s="81"/>
      <c r="L83" s="191"/>
      <c r="M83" s="81"/>
    </row>
    <row r="84" spans="3:13">
      <c r="C84" s="51"/>
      <c r="D84" s="52">
        <v>53</v>
      </c>
      <c r="E84" s="286"/>
      <c r="F84" s="286"/>
      <c r="G84" s="81"/>
      <c r="H84" s="81"/>
      <c r="I84" s="81"/>
      <c r="J84" s="81"/>
      <c r="K84" s="81"/>
      <c r="L84" s="191"/>
      <c r="M84" s="81"/>
    </row>
    <row r="85" spans="3:13">
      <c r="C85" s="51"/>
      <c r="D85" s="52">
        <v>54</v>
      </c>
      <c r="E85" s="286"/>
      <c r="F85" s="286"/>
      <c r="G85" s="81"/>
      <c r="H85" s="81"/>
      <c r="I85" s="81"/>
      <c r="J85" s="81"/>
      <c r="K85" s="81"/>
      <c r="L85" s="191"/>
      <c r="M85" s="81"/>
    </row>
    <row r="86" spans="3:13">
      <c r="C86" s="51"/>
      <c r="D86" s="52">
        <v>55</v>
      </c>
      <c r="E86" s="286"/>
      <c r="F86" s="286"/>
      <c r="G86" s="81"/>
      <c r="H86" s="81"/>
      <c r="I86" s="81"/>
      <c r="J86" s="81"/>
      <c r="K86" s="81"/>
      <c r="L86" s="191"/>
      <c r="M86" s="81"/>
    </row>
    <row r="87" spans="3:13">
      <c r="C87" s="51"/>
      <c r="D87" s="52">
        <v>56</v>
      </c>
      <c r="E87" s="286"/>
      <c r="F87" s="286"/>
      <c r="G87" s="81"/>
      <c r="H87" s="81"/>
      <c r="I87" s="81"/>
      <c r="J87" s="81"/>
      <c r="K87" s="81"/>
      <c r="L87" s="191"/>
      <c r="M87" s="81"/>
    </row>
    <row r="88" spans="3:13">
      <c r="C88" s="51"/>
      <c r="D88" s="52">
        <v>57</v>
      </c>
      <c r="E88" s="286"/>
      <c r="F88" s="286"/>
      <c r="G88" s="81"/>
      <c r="H88" s="81"/>
      <c r="I88" s="81"/>
      <c r="J88" s="81"/>
      <c r="K88" s="81"/>
      <c r="L88" s="191"/>
      <c r="M88" s="81"/>
    </row>
    <row r="89" spans="3:13">
      <c r="C89" s="51"/>
      <c r="D89" s="52">
        <v>58</v>
      </c>
      <c r="E89" s="286"/>
      <c r="F89" s="286"/>
      <c r="G89" s="81"/>
      <c r="H89" s="81"/>
      <c r="I89" s="81"/>
      <c r="J89" s="81"/>
      <c r="K89" s="81"/>
      <c r="L89" s="191"/>
      <c r="M89" s="81"/>
    </row>
    <row r="90" spans="3:13">
      <c r="C90" s="51"/>
      <c r="D90" s="52">
        <v>59</v>
      </c>
      <c r="E90" s="286"/>
      <c r="F90" s="286"/>
      <c r="G90" s="81"/>
      <c r="H90" s="81"/>
      <c r="I90" s="81"/>
      <c r="J90" s="81"/>
      <c r="K90" s="81"/>
      <c r="L90" s="191"/>
      <c r="M90" s="81"/>
    </row>
    <row r="91" spans="3:13">
      <c r="C91" s="51"/>
      <c r="D91" s="52">
        <v>60</v>
      </c>
      <c r="E91" s="286"/>
      <c r="F91" s="286"/>
      <c r="G91" s="81"/>
      <c r="H91" s="81"/>
      <c r="I91" s="81"/>
      <c r="J91" s="81"/>
      <c r="K91" s="81"/>
      <c r="L91" s="191"/>
      <c r="M91" s="81"/>
    </row>
    <row r="92" spans="3:13">
      <c r="D92" s="52">
        <v>61</v>
      </c>
      <c r="E92" s="286"/>
      <c r="F92" s="286"/>
      <c r="G92" s="81"/>
      <c r="H92" s="81"/>
      <c r="I92" s="81"/>
      <c r="J92" s="81"/>
      <c r="K92" s="81"/>
      <c r="L92" s="191"/>
      <c r="M92" s="81"/>
    </row>
    <row r="93" spans="3:13">
      <c r="D93" s="52">
        <v>62</v>
      </c>
      <c r="E93" s="286"/>
      <c r="F93" s="286"/>
      <c r="G93" s="81"/>
      <c r="H93" s="81"/>
      <c r="I93" s="81"/>
      <c r="J93" s="81"/>
      <c r="K93" s="81"/>
      <c r="L93" s="191"/>
      <c r="M93" s="81"/>
    </row>
    <row r="94" spans="3:13">
      <c r="D94" s="52">
        <v>63</v>
      </c>
      <c r="E94" s="286"/>
      <c r="F94" s="286"/>
      <c r="G94" s="81"/>
      <c r="H94" s="81"/>
      <c r="I94" s="81"/>
      <c r="J94" s="81"/>
      <c r="K94" s="81"/>
      <c r="L94" s="191"/>
      <c r="M94" s="81"/>
    </row>
    <row r="95" spans="3:13">
      <c r="D95" s="52">
        <v>64</v>
      </c>
      <c r="E95" s="286"/>
      <c r="F95" s="286"/>
      <c r="G95" s="81"/>
      <c r="H95" s="81"/>
      <c r="I95" s="81"/>
      <c r="J95" s="81"/>
      <c r="K95" s="81"/>
      <c r="L95" s="191"/>
      <c r="M95" s="81"/>
    </row>
    <row r="96" spans="3:13">
      <c r="D96" s="52">
        <v>65</v>
      </c>
      <c r="E96" s="286"/>
      <c r="F96" s="286"/>
      <c r="G96" s="81"/>
      <c r="H96" s="81"/>
      <c r="I96" s="81"/>
      <c r="J96" s="81"/>
      <c r="K96" s="81"/>
      <c r="L96" s="191"/>
      <c r="M96" s="81"/>
    </row>
    <row r="97" spans="4:13">
      <c r="D97" s="52">
        <v>66</v>
      </c>
      <c r="E97" s="286"/>
      <c r="F97" s="286"/>
      <c r="G97" s="81"/>
      <c r="H97" s="81"/>
      <c r="I97" s="81"/>
      <c r="J97" s="81"/>
      <c r="K97" s="81"/>
      <c r="L97" s="191"/>
      <c r="M97" s="81"/>
    </row>
    <row r="98" spans="4:13">
      <c r="D98" s="52">
        <v>67</v>
      </c>
      <c r="E98" s="286"/>
      <c r="F98" s="286"/>
      <c r="G98" s="81"/>
      <c r="H98" s="81"/>
      <c r="I98" s="81"/>
      <c r="J98" s="81"/>
      <c r="K98" s="81"/>
      <c r="L98" s="191"/>
      <c r="M98" s="81"/>
    </row>
    <row r="99" spans="4:13">
      <c r="D99" s="52">
        <v>68</v>
      </c>
      <c r="E99" s="286"/>
      <c r="F99" s="286"/>
      <c r="G99" s="81"/>
      <c r="H99" s="81"/>
      <c r="I99" s="81"/>
      <c r="J99" s="81"/>
      <c r="K99" s="81"/>
      <c r="L99" s="191"/>
      <c r="M99" s="81"/>
    </row>
    <row r="100" spans="4:13">
      <c r="D100" s="52">
        <v>69</v>
      </c>
      <c r="E100" s="286"/>
      <c r="F100" s="286"/>
      <c r="G100" s="81"/>
      <c r="H100" s="81"/>
      <c r="I100" s="81"/>
      <c r="J100" s="81"/>
      <c r="K100" s="81"/>
      <c r="L100" s="191"/>
      <c r="M100" s="81"/>
    </row>
    <row r="101" spans="4:13">
      <c r="D101" s="52">
        <v>70</v>
      </c>
      <c r="E101" s="286"/>
      <c r="F101" s="286"/>
      <c r="G101" s="81"/>
      <c r="H101" s="81"/>
      <c r="I101" s="81"/>
      <c r="J101" s="81"/>
      <c r="K101" s="81"/>
      <c r="L101" s="191"/>
      <c r="M101" s="81"/>
    </row>
    <row r="102" spans="4:13">
      <c r="D102" s="52">
        <v>71</v>
      </c>
      <c r="E102" s="286"/>
      <c r="F102" s="286"/>
      <c r="G102" s="81"/>
      <c r="H102" s="81"/>
      <c r="I102" s="81"/>
      <c r="J102" s="81"/>
      <c r="K102" s="81"/>
      <c r="L102" s="191"/>
      <c r="M102" s="81"/>
    </row>
    <row r="103" spans="4:13">
      <c r="D103" s="52">
        <v>72</v>
      </c>
      <c r="E103" s="286"/>
      <c r="F103" s="286"/>
      <c r="G103" s="81"/>
      <c r="H103" s="81"/>
      <c r="I103" s="81"/>
      <c r="J103" s="81"/>
      <c r="K103" s="81"/>
      <c r="L103" s="191"/>
      <c r="M103" s="81"/>
    </row>
    <row r="104" spans="4:13">
      <c r="D104" s="52">
        <v>73</v>
      </c>
      <c r="E104" s="286"/>
      <c r="F104" s="286"/>
      <c r="G104" s="81"/>
      <c r="H104" s="81"/>
      <c r="I104" s="81"/>
      <c r="J104" s="81"/>
      <c r="K104" s="81"/>
      <c r="L104" s="191"/>
      <c r="M104" s="81"/>
    </row>
    <row r="105" spans="4:13">
      <c r="D105" s="52">
        <v>74</v>
      </c>
      <c r="E105" s="286"/>
      <c r="F105" s="286"/>
      <c r="G105" s="81"/>
      <c r="H105" s="81"/>
      <c r="I105" s="81"/>
      <c r="J105" s="81"/>
      <c r="K105" s="81"/>
      <c r="L105" s="191"/>
      <c r="M105" s="81"/>
    </row>
    <row r="106" spans="4:13">
      <c r="D106" s="52">
        <v>75</v>
      </c>
      <c r="E106" s="286"/>
      <c r="F106" s="286"/>
      <c r="G106" s="81"/>
      <c r="H106" s="81"/>
      <c r="I106" s="81"/>
      <c r="J106" s="81"/>
      <c r="K106" s="81"/>
      <c r="L106" s="191"/>
      <c r="M106" s="81"/>
    </row>
    <row r="107" spans="4:13">
      <c r="D107" s="52">
        <v>76</v>
      </c>
      <c r="E107" s="286"/>
      <c r="F107" s="286"/>
      <c r="G107" s="81"/>
      <c r="H107" s="81"/>
      <c r="I107" s="81"/>
      <c r="J107" s="81"/>
      <c r="K107" s="81"/>
      <c r="L107" s="191"/>
      <c r="M107" s="81"/>
    </row>
    <row r="108" spans="4:13">
      <c r="D108" s="52">
        <v>77</v>
      </c>
      <c r="E108" s="286"/>
      <c r="F108" s="286"/>
      <c r="G108" s="81"/>
      <c r="H108" s="81"/>
      <c r="I108" s="81"/>
      <c r="J108" s="81"/>
      <c r="K108" s="81"/>
      <c r="L108" s="191"/>
      <c r="M108" s="81"/>
    </row>
    <row r="109" spans="4:13">
      <c r="D109" s="52">
        <v>78</v>
      </c>
      <c r="E109" s="286"/>
      <c r="F109" s="286"/>
      <c r="G109" s="81"/>
      <c r="H109" s="81"/>
      <c r="I109" s="81"/>
      <c r="J109" s="81"/>
      <c r="K109" s="81"/>
      <c r="L109" s="191"/>
      <c r="M109" s="81"/>
    </row>
    <row r="110" spans="4:13">
      <c r="D110" s="52">
        <v>79</v>
      </c>
      <c r="E110" s="286"/>
      <c r="F110" s="286"/>
      <c r="G110" s="81"/>
      <c r="H110" s="81"/>
      <c r="I110" s="81"/>
      <c r="J110" s="81"/>
      <c r="K110" s="81"/>
      <c r="L110" s="191"/>
      <c r="M110" s="81"/>
    </row>
    <row r="111" spans="4:13">
      <c r="D111" s="52">
        <v>80</v>
      </c>
      <c r="E111" s="286"/>
      <c r="F111" s="286"/>
      <c r="G111" s="81"/>
      <c r="H111" s="81"/>
      <c r="I111" s="81"/>
      <c r="J111" s="81"/>
      <c r="K111" s="81"/>
      <c r="L111" s="191"/>
      <c r="M111" s="81"/>
    </row>
    <row r="112" spans="4:13">
      <c r="D112" s="52">
        <v>81</v>
      </c>
      <c r="E112" s="286"/>
      <c r="F112" s="286"/>
      <c r="G112" s="81"/>
      <c r="H112" s="81"/>
      <c r="I112" s="81"/>
      <c r="J112" s="81"/>
      <c r="K112" s="81"/>
      <c r="L112" s="191"/>
      <c r="M112" s="81"/>
    </row>
    <row r="113" spans="4:13">
      <c r="D113" s="52">
        <v>82</v>
      </c>
      <c r="E113" s="286"/>
      <c r="F113" s="286"/>
      <c r="G113" s="81"/>
      <c r="H113" s="81"/>
      <c r="I113" s="81"/>
      <c r="J113" s="81"/>
      <c r="K113" s="81"/>
      <c r="L113" s="191"/>
      <c r="M113" s="81"/>
    </row>
    <row r="114" spans="4:13">
      <c r="D114" s="52">
        <v>83</v>
      </c>
      <c r="E114" s="286"/>
      <c r="F114" s="286"/>
      <c r="G114" s="81"/>
      <c r="H114" s="81"/>
      <c r="I114" s="81"/>
      <c r="J114" s="81"/>
      <c r="K114" s="81"/>
      <c r="L114" s="191"/>
      <c r="M114" s="81"/>
    </row>
    <row r="115" spans="4:13">
      <c r="D115" s="52">
        <v>84</v>
      </c>
      <c r="E115" s="286"/>
      <c r="F115" s="286"/>
      <c r="G115" s="81"/>
      <c r="H115" s="81"/>
      <c r="I115" s="81"/>
      <c r="J115" s="81"/>
      <c r="K115" s="81"/>
      <c r="L115" s="191"/>
      <c r="M115" s="81"/>
    </row>
    <row r="116" spans="4:13">
      <c r="D116" s="52">
        <v>85</v>
      </c>
      <c r="E116" s="286"/>
      <c r="F116" s="286"/>
      <c r="G116" s="81"/>
      <c r="H116" s="81"/>
      <c r="I116" s="81"/>
      <c r="J116" s="81"/>
      <c r="K116" s="81"/>
      <c r="L116" s="191"/>
      <c r="M116" s="81"/>
    </row>
    <row r="117" spans="4:13">
      <c r="D117" s="52">
        <v>86</v>
      </c>
      <c r="E117" s="286"/>
      <c r="F117" s="286"/>
      <c r="G117" s="81"/>
      <c r="H117" s="81"/>
      <c r="I117" s="81"/>
      <c r="J117" s="81"/>
      <c r="K117" s="81"/>
      <c r="L117" s="191"/>
      <c r="M117" s="81"/>
    </row>
    <row r="118" spans="4:13">
      <c r="D118" s="52">
        <v>87</v>
      </c>
      <c r="E118" s="286"/>
      <c r="F118" s="286"/>
      <c r="G118" s="81"/>
      <c r="H118" s="81"/>
      <c r="I118" s="81"/>
      <c r="J118" s="81"/>
      <c r="K118" s="81"/>
      <c r="L118" s="191"/>
      <c r="M118" s="81"/>
    </row>
    <row r="119" spans="4:13">
      <c r="D119" s="52">
        <v>88</v>
      </c>
      <c r="E119" s="286"/>
      <c r="F119" s="286"/>
      <c r="G119" s="81"/>
      <c r="H119" s="81"/>
      <c r="I119" s="81"/>
      <c r="J119" s="81"/>
      <c r="K119" s="81"/>
      <c r="L119" s="191"/>
      <c r="M119" s="81"/>
    </row>
    <row r="120" spans="4:13">
      <c r="D120" s="52">
        <v>89</v>
      </c>
      <c r="E120" s="286"/>
      <c r="F120" s="286"/>
      <c r="G120" s="81"/>
      <c r="H120" s="81"/>
      <c r="I120" s="81"/>
      <c r="J120" s="81"/>
      <c r="K120" s="81"/>
      <c r="L120" s="191"/>
      <c r="M120" s="81"/>
    </row>
    <row r="121" spans="4:13">
      <c r="D121" s="52">
        <v>90</v>
      </c>
      <c r="E121" s="286"/>
      <c r="F121" s="286"/>
      <c r="G121" s="81"/>
      <c r="H121" s="81"/>
      <c r="I121" s="81"/>
      <c r="J121" s="81"/>
      <c r="K121" s="81"/>
      <c r="L121" s="191"/>
      <c r="M121" s="81"/>
    </row>
    <row r="122" spans="4:13">
      <c r="D122" s="52">
        <v>91</v>
      </c>
      <c r="E122" s="286"/>
      <c r="F122" s="286"/>
      <c r="G122" s="81"/>
      <c r="H122" s="81"/>
      <c r="I122" s="81"/>
      <c r="J122" s="81"/>
      <c r="K122" s="81"/>
      <c r="L122" s="191"/>
      <c r="M122" s="81"/>
    </row>
    <row r="123" spans="4:13">
      <c r="D123" s="52">
        <v>92</v>
      </c>
      <c r="E123" s="286"/>
      <c r="F123" s="286"/>
      <c r="G123" s="81"/>
      <c r="H123" s="81"/>
      <c r="I123" s="81"/>
      <c r="J123" s="81"/>
      <c r="K123" s="81"/>
      <c r="L123" s="191"/>
      <c r="M123" s="81"/>
    </row>
    <row r="124" spans="4:13">
      <c r="D124" s="52">
        <v>93</v>
      </c>
      <c r="E124" s="286"/>
      <c r="F124" s="286"/>
      <c r="G124" s="81"/>
      <c r="H124" s="81"/>
      <c r="I124" s="81"/>
      <c r="J124" s="81"/>
      <c r="K124" s="81"/>
      <c r="L124" s="191"/>
      <c r="M124" s="81"/>
    </row>
    <row r="125" spans="4:13">
      <c r="D125" s="52">
        <v>94</v>
      </c>
      <c r="E125" s="286"/>
      <c r="F125" s="286"/>
      <c r="G125" s="81"/>
      <c r="H125" s="81"/>
      <c r="I125" s="81"/>
      <c r="J125" s="81"/>
      <c r="K125" s="81"/>
      <c r="L125" s="191"/>
      <c r="M125" s="81"/>
    </row>
    <row r="126" spans="4:13">
      <c r="D126" s="52">
        <v>95</v>
      </c>
      <c r="E126" s="286"/>
      <c r="F126" s="286"/>
      <c r="G126" s="81"/>
      <c r="H126" s="81"/>
      <c r="I126" s="81"/>
      <c r="J126" s="81"/>
      <c r="K126" s="81"/>
      <c r="L126" s="191"/>
      <c r="M126" s="81"/>
    </row>
    <row r="127" spans="4:13">
      <c r="D127" s="52">
        <v>96</v>
      </c>
      <c r="E127" s="286"/>
      <c r="F127" s="286"/>
      <c r="G127" s="81"/>
      <c r="H127" s="81"/>
      <c r="I127" s="81"/>
      <c r="J127" s="81"/>
      <c r="K127" s="81"/>
      <c r="L127" s="191"/>
      <c r="M127" s="81"/>
    </row>
    <row r="128" spans="4:13">
      <c r="D128" s="52">
        <v>97</v>
      </c>
      <c r="E128" s="286"/>
      <c r="F128" s="286"/>
      <c r="G128" s="81"/>
      <c r="H128" s="81"/>
      <c r="I128" s="81"/>
      <c r="J128" s="81"/>
      <c r="K128" s="81"/>
      <c r="L128" s="191"/>
      <c r="M128" s="81"/>
    </row>
    <row r="129" spans="4:13">
      <c r="D129" s="52">
        <v>98</v>
      </c>
      <c r="E129" s="286"/>
      <c r="F129" s="286"/>
      <c r="G129" s="81"/>
      <c r="H129" s="81"/>
      <c r="I129" s="81"/>
      <c r="J129" s="81"/>
      <c r="K129" s="81"/>
      <c r="L129" s="191"/>
      <c r="M129" s="81"/>
    </row>
    <row r="130" spans="4:13">
      <c r="D130" s="52">
        <v>99</v>
      </c>
      <c r="E130" s="286"/>
      <c r="F130" s="286"/>
      <c r="G130" s="81"/>
      <c r="H130" s="81"/>
      <c r="I130" s="81"/>
      <c r="J130" s="81"/>
      <c r="K130" s="81"/>
      <c r="L130" s="191"/>
      <c r="M130" s="81"/>
    </row>
    <row r="131" spans="4:13">
      <c r="D131" s="52">
        <v>100</v>
      </c>
      <c r="E131" s="286"/>
      <c r="F131" s="286"/>
      <c r="G131" s="81"/>
      <c r="H131" s="81"/>
      <c r="I131" s="81"/>
      <c r="J131" s="81"/>
      <c r="K131" s="81"/>
      <c r="L131" s="191"/>
      <c r="M131" s="81"/>
    </row>
    <row r="132" spans="4:13">
      <c r="D132" s="52">
        <v>101</v>
      </c>
      <c r="E132" s="286"/>
      <c r="F132" s="286"/>
      <c r="G132" s="81"/>
      <c r="H132" s="81"/>
      <c r="I132" s="81"/>
      <c r="J132" s="81"/>
      <c r="K132" s="81"/>
      <c r="L132" s="191"/>
      <c r="M132" s="81"/>
    </row>
    <row r="133" spans="4:13">
      <c r="D133" s="52">
        <v>102</v>
      </c>
      <c r="E133" s="286"/>
      <c r="F133" s="286"/>
      <c r="G133" s="81"/>
      <c r="H133" s="81"/>
      <c r="I133" s="81"/>
      <c r="J133" s="81"/>
      <c r="K133" s="81"/>
      <c r="L133" s="191"/>
      <c r="M133" s="81"/>
    </row>
    <row r="134" spans="4:13">
      <c r="D134" s="52">
        <v>103</v>
      </c>
      <c r="E134" s="286"/>
      <c r="F134" s="286"/>
      <c r="G134" s="81"/>
      <c r="H134" s="81"/>
      <c r="I134" s="81"/>
      <c r="J134" s="81"/>
      <c r="K134" s="81"/>
      <c r="L134" s="191"/>
      <c r="M134" s="81"/>
    </row>
    <row r="135" spans="4:13">
      <c r="D135" s="52">
        <v>104</v>
      </c>
      <c r="E135" s="286"/>
      <c r="F135" s="286"/>
      <c r="G135" s="81"/>
      <c r="H135" s="81"/>
      <c r="I135" s="81"/>
      <c r="J135" s="81"/>
      <c r="K135" s="81"/>
      <c r="L135" s="191"/>
      <c r="M135" s="81"/>
    </row>
    <row r="136" spans="4:13">
      <c r="D136" s="52">
        <v>105</v>
      </c>
      <c r="E136" s="286"/>
      <c r="F136" s="286"/>
      <c r="G136" s="81"/>
      <c r="H136" s="81"/>
      <c r="I136" s="81"/>
      <c r="J136" s="81"/>
      <c r="K136" s="81"/>
      <c r="L136" s="191"/>
      <c r="M136" s="81"/>
    </row>
    <row r="137" spans="4:13">
      <c r="D137" s="52">
        <v>106</v>
      </c>
      <c r="E137" s="286"/>
      <c r="F137" s="286"/>
      <c r="G137" s="81"/>
      <c r="H137" s="81"/>
      <c r="I137" s="81"/>
      <c r="J137" s="81"/>
      <c r="K137" s="81"/>
      <c r="L137" s="191"/>
      <c r="M137" s="81"/>
    </row>
    <row r="138" spans="4:13">
      <c r="D138" s="52">
        <v>107</v>
      </c>
      <c r="E138" s="286"/>
      <c r="F138" s="286"/>
      <c r="G138" s="81"/>
      <c r="H138" s="81"/>
      <c r="I138" s="81"/>
      <c r="J138" s="81"/>
      <c r="K138" s="81"/>
      <c r="L138" s="191"/>
      <c r="M138" s="81"/>
    </row>
    <row r="139" spans="4:13">
      <c r="D139" s="52">
        <v>108</v>
      </c>
      <c r="E139" s="286"/>
      <c r="F139" s="286"/>
      <c r="G139" s="81"/>
      <c r="H139" s="81"/>
      <c r="I139" s="81"/>
      <c r="J139" s="81"/>
      <c r="K139" s="81"/>
      <c r="L139" s="191"/>
      <c r="M139" s="81"/>
    </row>
    <row r="140" spans="4:13">
      <c r="D140" s="52">
        <v>109</v>
      </c>
      <c r="E140" s="286"/>
      <c r="F140" s="286"/>
      <c r="G140" s="81"/>
      <c r="H140" s="81"/>
      <c r="I140" s="81"/>
      <c r="J140" s="81"/>
      <c r="K140" s="81"/>
      <c r="L140" s="191"/>
      <c r="M140" s="81"/>
    </row>
    <row r="141" spans="4:13">
      <c r="D141" s="52">
        <v>110</v>
      </c>
      <c r="E141" s="286"/>
      <c r="F141" s="286"/>
      <c r="G141" s="81"/>
      <c r="H141" s="81"/>
      <c r="I141" s="81"/>
      <c r="J141" s="81"/>
      <c r="K141" s="81"/>
      <c r="L141" s="191"/>
      <c r="M141" s="81"/>
    </row>
    <row r="142" spans="4:13">
      <c r="D142" s="52">
        <v>111</v>
      </c>
      <c r="E142" s="286"/>
      <c r="F142" s="286"/>
      <c r="G142" s="81"/>
      <c r="H142" s="81"/>
      <c r="I142" s="81"/>
      <c r="J142" s="81"/>
      <c r="K142" s="81"/>
      <c r="L142" s="191"/>
      <c r="M142" s="81"/>
    </row>
    <row r="143" spans="4:13">
      <c r="D143" s="52">
        <v>112</v>
      </c>
      <c r="E143" s="286"/>
      <c r="F143" s="286"/>
      <c r="G143" s="81"/>
      <c r="H143" s="81"/>
      <c r="I143" s="81"/>
      <c r="J143" s="81"/>
      <c r="K143" s="81"/>
      <c r="L143" s="191"/>
      <c r="M143" s="81"/>
    </row>
    <row r="144" spans="4:13">
      <c r="D144" s="52">
        <v>113</v>
      </c>
      <c r="E144" s="286"/>
      <c r="F144" s="286"/>
      <c r="G144" s="81"/>
      <c r="H144" s="81"/>
      <c r="I144" s="81"/>
      <c r="J144" s="81"/>
      <c r="K144" s="81"/>
      <c r="L144" s="191"/>
      <c r="M144" s="81"/>
    </row>
    <row r="145" spans="4:13">
      <c r="D145" s="52">
        <v>114</v>
      </c>
      <c r="E145" s="286"/>
      <c r="F145" s="286"/>
      <c r="G145" s="81"/>
      <c r="H145" s="81"/>
      <c r="I145" s="81"/>
      <c r="J145" s="81"/>
      <c r="K145" s="81"/>
      <c r="L145" s="191"/>
      <c r="M145" s="81"/>
    </row>
    <row r="146" spans="4:13">
      <c r="D146" s="52">
        <v>115</v>
      </c>
      <c r="E146" s="286"/>
      <c r="F146" s="286"/>
      <c r="G146" s="81"/>
      <c r="H146" s="81"/>
      <c r="I146" s="81"/>
      <c r="J146" s="81"/>
      <c r="K146" s="81"/>
      <c r="L146" s="191"/>
      <c r="M146" s="81"/>
    </row>
    <row r="147" spans="4:13">
      <c r="D147" s="52">
        <v>116</v>
      </c>
      <c r="E147" s="286"/>
      <c r="F147" s="286"/>
      <c r="G147" s="81"/>
      <c r="H147" s="81"/>
      <c r="I147" s="81"/>
      <c r="J147" s="81"/>
      <c r="K147" s="81"/>
      <c r="L147" s="191"/>
      <c r="M147" s="81"/>
    </row>
    <row r="148" spans="4:13">
      <c r="D148" s="52">
        <v>117</v>
      </c>
      <c r="E148" s="286"/>
      <c r="F148" s="286"/>
      <c r="G148" s="81"/>
      <c r="H148" s="81"/>
      <c r="I148" s="81"/>
      <c r="J148" s="81"/>
      <c r="K148" s="81"/>
      <c r="L148" s="191"/>
      <c r="M148" s="81"/>
    </row>
    <row r="149" spans="4:13">
      <c r="D149" s="52">
        <v>118</v>
      </c>
      <c r="E149" s="286"/>
      <c r="F149" s="286"/>
      <c r="G149" s="81"/>
      <c r="H149" s="81"/>
      <c r="I149" s="81"/>
      <c r="J149" s="81"/>
      <c r="K149" s="81"/>
      <c r="L149" s="191"/>
      <c r="M149" s="81"/>
    </row>
    <row r="150" spans="4:13">
      <c r="D150" s="52">
        <v>119</v>
      </c>
      <c r="E150" s="286"/>
      <c r="F150" s="286"/>
      <c r="G150" s="81"/>
      <c r="H150" s="81"/>
      <c r="I150" s="81"/>
      <c r="J150" s="81"/>
      <c r="K150" s="81"/>
      <c r="L150" s="191"/>
      <c r="M150" s="81"/>
    </row>
    <row r="151" spans="4:13">
      <c r="D151" s="52">
        <v>120</v>
      </c>
      <c r="E151" s="286"/>
      <c r="F151" s="286"/>
      <c r="G151" s="81"/>
      <c r="H151" s="81"/>
      <c r="I151" s="81"/>
      <c r="J151" s="81"/>
      <c r="K151" s="81"/>
      <c r="L151" s="191"/>
      <c r="M151" s="81"/>
    </row>
    <row r="152" spans="4:13">
      <c r="D152" s="52">
        <v>121</v>
      </c>
      <c r="E152" s="286"/>
      <c r="F152" s="286"/>
      <c r="G152" s="81"/>
      <c r="H152" s="81"/>
      <c r="I152" s="81"/>
      <c r="J152" s="81"/>
      <c r="K152" s="81"/>
      <c r="L152" s="191"/>
      <c r="M152" s="81"/>
    </row>
    <row r="153" spans="4:13">
      <c r="D153" s="52">
        <v>122</v>
      </c>
      <c r="E153" s="286"/>
      <c r="F153" s="286"/>
      <c r="G153" s="81"/>
      <c r="H153" s="81"/>
      <c r="I153" s="81"/>
      <c r="J153" s="81"/>
      <c r="K153" s="81"/>
      <c r="L153" s="191"/>
      <c r="M153" s="81"/>
    </row>
    <row r="154" spans="4:13">
      <c r="D154" s="52">
        <v>123</v>
      </c>
      <c r="E154" s="286"/>
      <c r="F154" s="286"/>
      <c r="G154" s="81"/>
      <c r="H154" s="81"/>
      <c r="I154" s="81"/>
      <c r="J154" s="81"/>
      <c r="K154" s="81"/>
      <c r="L154" s="191"/>
      <c r="M154" s="81"/>
    </row>
    <row r="155" spans="4:13">
      <c r="D155" s="52">
        <v>124</v>
      </c>
      <c r="E155" s="286"/>
      <c r="F155" s="286"/>
      <c r="G155" s="81"/>
      <c r="H155" s="81"/>
      <c r="I155" s="81"/>
      <c r="J155" s="81"/>
      <c r="K155" s="81"/>
      <c r="L155" s="191"/>
      <c r="M155" s="81"/>
    </row>
    <row r="156" spans="4:13">
      <c r="D156" s="52">
        <v>125</v>
      </c>
      <c r="E156" s="286"/>
      <c r="F156" s="286"/>
      <c r="G156" s="81"/>
      <c r="H156" s="81"/>
      <c r="I156" s="81"/>
      <c r="J156" s="81"/>
      <c r="K156" s="81"/>
      <c r="L156" s="191"/>
      <c r="M156" s="81"/>
    </row>
    <row r="157" spans="4:13">
      <c r="D157" s="52">
        <v>126</v>
      </c>
      <c r="E157" s="286"/>
      <c r="F157" s="286"/>
      <c r="G157" s="81"/>
      <c r="H157" s="81"/>
      <c r="I157" s="81"/>
      <c r="J157" s="81"/>
      <c r="K157" s="81"/>
      <c r="L157" s="191"/>
      <c r="M157" s="81"/>
    </row>
    <row r="158" spans="4:13">
      <c r="D158" s="52">
        <v>127</v>
      </c>
      <c r="E158" s="286"/>
      <c r="F158" s="286"/>
      <c r="G158" s="81"/>
      <c r="H158" s="81"/>
      <c r="I158" s="81"/>
      <c r="J158" s="81"/>
      <c r="K158" s="81"/>
      <c r="L158" s="191"/>
      <c r="M158" s="81"/>
    </row>
    <row r="159" spans="4:13">
      <c r="D159" s="52">
        <v>128</v>
      </c>
      <c r="E159" s="286"/>
      <c r="F159" s="286"/>
      <c r="G159" s="81"/>
      <c r="H159" s="81"/>
      <c r="I159" s="81"/>
      <c r="J159" s="81"/>
      <c r="K159" s="81"/>
      <c r="L159" s="191"/>
      <c r="M159" s="81"/>
    </row>
    <row r="160" spans="4:13">
      <c r="D160" s="52">
        <v>129</v>
      </c>
      <c r="E160" s="286"/>
      <c r="F160" s="286"/>
      <c r="G160" s="81"/>
      <c r="H160" s="81"/>
      <c r="I160" s="81"/>
      <c r="J160" s="81"/>
      <c r="K160" s="81"/>
      <c r="L160" s="191"/>
      <c r="M160" s="81"/>
    </row>
    <row r="161" spans="4:13">
      <c r="D161" s="52">
        <v>130</v>
      </c>
      <c r="E161" s="286"/>
      <c r="F161" s="286"/>
      <c r="G161" s="81"/>
      <c r="H161" s="81"/>
      <c r="I161" s="81"/>
      <c r="J161" s="81"/>
      <c r="K161" s="81"/>
      <c r="L161" s="191"/>
      <c r="M161" s="81"/>
    </row>
    <row r="162" spans="4:13">
      <c r="D162" s="52">
        <v>131</v>
      </c>
      <c r="E162" s="286"/>
      <c r="F162" s="286"/>
      <c r="G162" s="81"/>
      <c r="H162" s="81"/>
      <c r="I162" s="81"/>
      <c r="J162" s="81"/>
      <c r="K162" s="81"/>
      <c r="L162" s="191"/>
      <c r="M162" s="81"/>
    </row>
    <row r="163" spans="4:13">
      <c r="D163" s="52">
        <v>132</v>
      </c>
      <c r="E163" s="286"/>
      <c r="F163" s="286"/>
      <c r="G163" s="81"/>
      <c r="H163" s="81"/>
      <c r="I163" s="81"/>
      <c r="J163" s="81"/>
      <c r="K163" s="81"/>
      <c r="L163" s="191"/>
      <c r="M163" s="81"/>
    </row>
    <row r="164" spans="4:13">
      <c r="D164" s="52">
        <v>133</v>
      </c>
      <c r="E164" s="286"/>
      <c r="F164" s="286"/>
      <c r="G164" s="81"/>
      <c r="H164" s="81"/>
      <c r="I164" s="81"/>
      <c r="J164" s="81"/>
      <c r="K164" s="81"/>
      <c r="L164" s="191"/>
      <c r="M164" s="81"/>
    </row>
    <row r="165" spans="4:13">
      <c r="D165" s="52">
        <v>134</v>
      </c>
      <c r="E165" s="286"/>
      <c r="F165" s="286"/>
      <c r="G165" s="81"/>
      <c r="H165" s="81"/>
      <c r="I165" s="81"/>
      <c r="J165" s="81"/>
      <c r="K165" s="81"/>
      <c r="L165" s="191"/>
      <c r="M165" s="81"/>
    </row>
    <row r="166" spans="4:13">
      <c r="D166" s="52">
        <v>135</v>
      </c>
      <c r="E166" s="286"/>
      <c r="F166" s="286"/>
      <c r="G166" s="81"/>
      <c r="H166" s="81"/>
      <c r="I166" s="81"/>
      <c r="J166" s="81"/>
      <c r="K166" s="81"/>
      <c r="L166" s="191"/>
      <c r="M166" s="81"/>
    </row>
    <row r="167" spans="4:13">
      <c r="D167" s="52">
        <v>136</v>
      </c>
      <c r="E167" s="286"/>
      <c r="F167" s="286"/>
      <c r="G167" s="81"/>
      <c r="H167" s="81"/>
      <c r="I167" s="81"/>
      <c r="J167" s="81"/>
      <c r="K167" s="81"/>
      <c r="L167" s="191"/>
      <c r="M167" s="81"/>
    </row>
    <row r="168" spans="4:13">
      <c r="D168" s="52">
        <v>137</v>
      </c>
      <c r="E168" s="286"/>
      <c r="F168" s="286"/>
      <c r="G168" s="81"/>
      <c r="H168" s="81"/>
      <c r="I168" s="81"/>
      <c r="J168" s="81"/>
      <c r="K168" s="81"/>
      <c r="L168" s="191"/>
      <c r="M168" s="81"/>
    </row>
    <row r="169" spans="4:13">
      <c r="D169" s="52">
        <v>138</v>
      </c>
      <c r="E169" s="286"/>
      <c r="F169" s="286"/>
      <c r="G169" s="81"/>
      <c r="H169" s="81"/>
      <c r="I169" s="81"/>
      <c r="J169" s="81"/>
      <c r="K169" s="81"/>
      <c r="L169" s="191"/>
      <c r="M169" s="81"/>
    </row>
    <row r="170" spans="4:13">
      <c r="D170" s="52">
        <v>139</v>
      </c>
      <c r="E170" s="286"/>
      <c r="F170" s="286"/>
      <c r="G170" s="81"/>
      <c r="H170" s="81"/>
      <c r="I170" s="81"/>
      <c r="J170" s="81"/>
      <c r="K170" s="81"/>
      <c r="L170" s="191"/>
      <c r="M170" s="81"/>
    </row>
    <row r="171" spans="4:13">
      <c r="D171" s="52">
        <v>140</v>
      </c>
      <c r="E171" s="286"/>
      <c r="F171" s="286"/>
      <c r="G171" s="81"/>
      <c r="H171" s="81"/>
      <c r="I171" s="81"/>
      <c r="J171" s="81"/>
      <c r="K171" s="81"/>
      <c r="L171" s="191"/>
      <c r="M171" s="81"/>
    </row>
    <row r="172" spans="4:13">
      <c r="D172" s="52">
        <v>141</v>
      </c>
      <c r="E172" s="286"/>
      <c r="F172" s="286"/>
      <c r="G172" s="81"/>
      <c r="H172" s="81"/>
      <c r="I172" s="81"/>
      <c r="J172" s="81"/>
      <c r="K172" s="81"/>
      <c r="L172" s="191"/>
      <c r="M172" s="81"/>
    </row>
    <row r="173" spans="4:13">
      <c r="D173" s="52">
        <v>142</v>
      </c>
      <c r="E173" s="286"/>
      <c r="F173" s="286"/>
      <c r="G173" s="81"/>
      <c r="H173" s="81"/>
      <c r="I173" s="81"/>
      <c r="J173" s="81"/>
      <c r="K173" s="81"/>
      <c r="L173" s="191"/>
      <c r="M173" s="81"/>
    </row>
    <row r="174" spans="4:13">
      <c r="D174" s="52">
        <v>143</v>
      </c>
      <c r="E174" s="286"/>
      <c r="F174" s="286"/>
      <c r="G174" s="81"/>
      <c r="H174" s="81"/>
      <c r="I174" s="81"/>
      <c r="J174" s="81"/>
      <c r="K174" s="81"/>
      <c r="L174" s="191"/>
      <c r="M174" s="81"/>
    </row>
    <row r="175" spans="4:13">
      <c r="D175" s="52">
        <v>144</v>
      </c>
      <c r="E175" s="286"/>
      <c r="F175" s="286"/>
      <c r="G175" s="81"/>
      <c r="H175" s="81"/>
      <c r="I175" s="81"/>
      <c r="J175" s="81"/>
      <c r="K175" s="81"/>
      <c r="L175" s="191"/>
      <c r="M175" s="81"/>
    </row>
    <row r="176" spans="4:13">
      <c r="D176" s="52">
        <v>145</v>
      </c>
      <c r="E176" s="286"/>
      <c r="F176" s="286"/>
      <c r="G176" s="81"/>
      <c r="H176" s="81"/>
      <c r="I176" s="81"/>
      <c r="J176" s="81"/>
      <c r="K176" s="81"/>
      <c r="L176" s="191"/>
      <c r="M176" s="81"/>
    </row>
    <row r="177" spans="4:13">
      <c r="D177" s="52">
        <v>146</v>
      </c>
      <c r="E177" s="286"/>
      <c r="F177" s="286"/>
      <c r="G177" s="81"/>
      <c r="H177" s="81"/>
      <c r="I177" s="81"/>
      <c r="J177" s="81"/>
      <c r="K177" s="81"/>
      <c r="L177" s="191"/>
      <c r="M177" s="81"/>
    </row>
    <row r="178" spans="4:13">
      <c r="D178" s="52">
        <v>147</v>
      </c>
      <c r="E178" s="286"/>
      <c r="F178" s="286"/>
      <c r="G178" s="81"/>
      <c r="H178" s="81"/>
      <c r="I178" s="81"/>
      <c r="J178" s="81"/>
      <c r="K178" s="81"/>
      <c r="L178" s="191"/>
      <c r="M178" s="81"/>
    </row>
    <row r="179" spans="4:13">
      <c r="D179" s="52">
        <v>148</v>
      </c>
      <c r="E179" s="286"/>
      <c r="F179" s="286"/>
      <c r="G179" s="81"/>
      <c r="H179" s="81"/>
      <c r="I179" s="81"/>
      <c r="J179" s="81"/>
      <c r="K179" s="81"/>
      <c r="L179" s="191"/>
      <c r="M179" s="81"/>
    </row>
    <row r="180" spans="4:13">
      <c r="D180" s="52">
        <v>149</v>
      </c>
      <c r="E180" s="286"/>
      <c r="F180" s="286"/>
      <c r="G180" s="81"/>
      <c r="H180" s="81"/>
      <c r="I180" s="81"/>
      <c r="J180" s="81"/>
      <c r="K180" s="81"/>
      <c r="L180" s="191"/>
      <c r="M180" s="81"/>
    </row>
    <row r="181" spans="4:13">
      <c r="D181" s="52">
        <v>150</v>
      </c>
      <c r="E181" s="286"/>
      <c r="F181" s="286"/>
      <c r="G181" s="81"/>
      <c r="H181" s="81"/>
      <c r="I181" s="81"/>
      <c r="J181" s="81"/>
      <c r="K181" s="81"/>
      <c r="L181" s="191"/>
      <c r="M181" s="81"/>
    </row>
    <row r="182" spans="4:13">
      <c r="D182" s="52">
        <v>151</v>
      </c>
      <c r="E182" s="286"/>
      <c r="F182" s="286"/>
      <c r="G182" s="81"/>
      <c r="H182" s="81"/>
      <c r="I182" s="81"/>
      <c r="J182" s="81"/>
      <c r="K182" s="81"/>
      <c r="L182" s="191"/>
      <c r="M182" s="81"/>
    </row>
    <row r="183" spans="4:13">
      <c r="D183" s="52">
        <v>152</v>
      </c>
      <c r="E183" s="286"/>
      <c r="F183" s="286"/>
      <c r="G183" s="81"/>
      <c r="H183" s="81"/>
      <c r="I183" s="81"/>
      <c r="J183" s="81"/>
      <c r="K183" s="81"/>
      <c r="L183" s="191"/>
      <c r="M183" s="81"/>
    </row>
    <row r="184" spans="4:13">
      <c r="D184" s="52">
        <v>153</v>
      </c>
      <c r="E184" s="286"/>
      <c r="F184" s="286"/>
      <c r="G184" s="81"/>
      <c r="H184" s="81"/>
      <c r="I184" s="81"/>
      <c r="J184" s="81"/>
      <c r="K184" s="81"/>
      <c r="L184" s="191"/>
      <c r="M184" s="81"/>
    </row>
    <row r="185" spans="4:13">
      <c r="D185" s="52">
        <v>154</v>
      </c>
      <c r="E185" s="286"/>
      <c r="F185" s="286"/>
      <c r="G185" s="81"/>
      <c r="H185" s="81"/>
      <c r="I185" s="81"/>
      <c r="J185" s="81"/>
      <c r="K185" s="81"/>
      <c r="L185" s="191"/>
      <c r="M185" s="81"/>
    </row>
    <row r="186" spans="4:13">
      <c r="D186" s="52">
        <v>155</v>
      </c>
      <c r="E186" s="286"/>
      <c r="F186" s="286"/>
      <c r="G186" s="81"/>
      <c r="H186" s="81"/>
      <c r="I186" s="81"/>
      <c r="J186" s="81"/>
      <c r="K186" s="81"/>
      <c r="L186" s="191"/>
      <c r="M186" s="81"/>
    </row>
    <row r="187" spans="4:13">
      <c r="D187" s="52">
        <v>156</v>
      </c>
      <c r="E187" s="286"/>
      <c r="F187" s="286"/>
      <c r="G187" s="81"/>
      <c r="H187" s="81"/>
      <c r="I187" s="81"/>
      <c r="J187" s="81"/>
      <c r="K187" s="81"/>
      <c r="L187" s="191"/>
      <c r="M187" s="81"/>
    </row>
    <row r="188" spans="4:13">
      <c r="D188" s="52">
        <v>157</v>
      </c>
      <c r="E188" s="286"/>
      <c r="F188" s="286"/>
      <c r="G188" s="81"/>
      <c r="H188" s="81"/>
      <c r="I188" s="81"/>
      <c r="J188" s="81"/>
      <c r="K188" s="81"/>
      <c r="L188" s="191"/>
      <c r="M188" s="81"/>
    </row>
    <row r="189" spans="4:13">
      <c r="D189" s="52">
        <v>158</v>
      </c>
      <c r="E189" s="286"/>
      <c r="F189" s="286"/>
      <c r="G189" s="81"/>
      <c r="H189" s="81"/>
      <c r="I189" s="81"/>
      <c r="J189" s="81"/>
      <c r="K189" s="81"/>
      <c r="L189" s="191"/>
      <c r="M189" s="81"/>
    </row>
    <row r="190" spans="4:13">
      <c r="D190" s="52">
        <v>159</v>
      </c>
      <c r="E190" s="286"/>
      <c r="F190" s="286"/>
      <c r="G190" s="81"/>
      <c r="H190" s="81"/>
      <c r="I190" s="81"/>
      <c r="J190" s="81"/>
      <c r="K190" s="81"/>
      <c r="L190" s="191"/>
      <c r="M190" s="81"/>
    </row>
    <row r="191" spans="4:13">
      <c r="D191" s="52">
        <v>160</v>
      </c>
      <c r="E191" s="286"/>
      <c r="F191" s="286"/>
      <c r="G191" s="81"/>
      <c r="H191" s="81"/>
      <c r="I191" s="81"/>
      <c r="J191" s="81"/>
      <c r="K191" s="81"/>
      <c r="L191" s="191"/>
      <c r="M191" s="81"/>
    </row>
    <row r="192" spans="4:13">
      <c r="D192" s="52">
        <v>161</v>
      </c>
      <c r="E192" s="286"/>
      <c r="F192" s="286"/>
      <c r="G192" s="81"/>
      <c r="H192" s="81"/>
      <c r="I192" s="81"/>
      <c r="J192" s="81"/>
      <c r="K192" s="81"/>
      <c r="L192" s="191"/>
      <c r="M192" s="81"/>
    </row>
    <row r="193" spans="4:13">
      <c r="D193" s="52">
        <v>162</v>
      </c>
      <c r="E193" s="286"/>
      <c r="F193" s="286"/>
      <c r="G193" s="81"/>
      <c r="H193" s="81"/>
      <c r="I193" s="81"/>
      <c r="J193" s="81"/>
      <c r="K193" s="81"/>
      <c r="L193" s="191"/>
      <c r="M193" s="81"/>
    </row>
    <row r="194" spans="4:13">
      <c r="D194" s="52">
        <v>163</v>
      </c>
      <c r="E194" s="286"/>
      <c r="F194" s="286"/>
      <c r="G194" s="81"/>
      <c r="H194" s="81"/>
      <c r="I194" s="81"/>
      <c r="J194" s="81"/>
      <c r="K194" s="81"/>
      <c r="L194" s="191"/>
      <c r="M194" s="81"/>
    </row>
    <row r="195" spans="4:13">
      <c r="D195" s="52">
        <v>164</v>
      </c>
      <c r="E195" s="286"/>
      <c r="F195" s="286"/>
      <c r="G195" s="81"/>
      <c r="H195" s="81"/>
      <c r="I195" s="81"/>
      <c r="J195" s="81"/>
      <c r="K195" s="81"/>
      <c r="L195" s="191"/>
      <c r="M195" s="81"/>
    </row>
    <row r="196" spans="4:13">
      <c r="D196" s="52">
        <v>165</v>
      </c>
      <c r="E196" s="286"/>
      <c r="F196" s="286"/>
      <c r="G196" s="81"/>
      <c r="H196" s="81"/>
      <c r="I196" s="81"/>
      <c r="J196" s="81"/>
      <c r="K196" s="81"/>
      <c r="L196" s="191"/>
      <c r="M196" s="81"/>
    </row>
    <row r="197" spans="4:13">
      <c r="D197" s="52">
        <v>166</v>
      </c>
      <c r="E197" s="286"/>
      <c r="F197" s="286"/>
      <c r="G197" s="81"/>
      <c r="H197" s="81"/>
      <c r="I197" s="81"/>
      <c r="J197" s="81"/>
      <c r="K197" s="81"/>
      <c r="L197" s="191"/>
      <c r="M197" s="81"/>
    </row>
    <row r="198" spans="4:13">
      <c r="D198" s="52">
        <v>167</v>
      </c>
      <c r="E198" s="286"/>
      <c r="F198" s="286"/>
      <c r="G198" s="81"/>
      <c r="H198" s="81"/>
      <c r="I198" s="81"/>
      <c r="J198" s="81"/>
      <c r="K198" s="81"/>
      <c r="L198" s="191"/>
      <c r="M198" s="81"/>
    </row>
    <row r="199" spans="4:13">
      <c r="D199" s="52">
        <v>168</v>
      </c>
      <c r="E199" s="286"/>
      <c r="F199" s="286"/>
      <c r="G199" s="81"/>
      <c r="H199" s="81"/>
      <c r="I199" s="81"/>
      <c r="J199" s="81"/>
      <c r="K199" s="81"/>
      <c r="L199" s="191"/>
      <c r="M199" s="81"/>
    </row>
    <row r="200" spans="4:13">
      <c r="D200" s="52">
        <v>169</v>
      </c>
      <c r="E200" s="286"/>
      <c r="F200" s="286"/>
      <c r="G200" s="81"/>
      <c r="H200" s="81"/>
      <c r="I200" s="81"/>
      <c r="J200" s="81"/>
      <c r="K200" s="81"/>
      <c r="L200" s="191"/>
      <c r="M200" s="81"/>
    </row>
    <row r="201" spans="4:13">
      <c r="D201" s="52">
        <v>170</v>
      </c>
      <c r="E201" s="286"/>
      <c r="F201" s="286"/>
      <c r="G201" s="81"/>
      <c r="H201" s="81"/>
      <c r="I201" s="81"/>
      <c r="J201" s="81"/>
      <c r="K201" s="81"/>
      <c r="L201" s="191"/>
      <c r="M201" s="81"/>
    </row>
    <row r="202" spans="4:13">
      <c r="D202" s="52">
        <v>171</v>
      </c>
      <c r="E202" s="286"/>
      <c r="F202" s="286"/>
      <c r="G202" s="81"/>
      <c r="H202" s="81"/>
      <c r="I202" s="81"/>
      <c r="J202" s="81"/>
      <c r="K202" s="81"/>
      <c r="L202" s="191"/>
      <c r="M202" s="81"/>
    </row>
    <row r="203" spans="4:13">
      <c r="D203" s="52">
        <v>172</v>
      </c>
      <c r="E203" s="286"/>
      <c r="F203" s="286"/>
      <c r="G203" s="81"/>
      <c r="H203" s="81"/>
      <c r="I203" s="81"/>
      <c r="J203" s="81"/>
      <c r="K203" s="81"/>
      <c r="L203" s="191"/>
      <c r="M203" s="81"/>
    </row>
    <row r="204" spans="4:13">
      <c r="D204" s="52">
        <v>173</v>
      </c>
      <c r="E204" s="286"/>
      <c r="F204" s="286"/>
      <c r="G204" s="81"/>
      <c r="H204" s="81"/>
      <c r="I204" s="81"/>
      <c r="J204" s="81"/>
      <c r="K204" s="81"/>
      <c r="L204" s="191"/>
      <c r="M204" s="81"/>
    </row>
    <row r="205" spans="4:13">
      <c r="D205" s="52">
        <v>174</v>
      </c>
      <c r="E205" s="286"/>
      <c r="F205" s="286"/>
      <c r="G205" s="81"/>
      <c r="H205" s="81"/>
      <c r="I205" s="81"/>
      <c r="J205" s="81"/>
      <c r="K205" s="81"/>
      <c r="L205" s="191"/>
      <c r="M205" s="81"/>
    </row>
    <row r="206" spans="4:13">
      <c r="D206" s="52">
        <v>175</v>
      </c>
      <c r="E206" s="286"/>
      <c r="F206" s="286"/>
      <c r="G206" s="81"/>
      <c r="H206" s="81"/>
      <c r="I206" s="81"/>
      <c r="J206" s="81"/>
      <c r="K206" s="81"/>
      <c r="L206" s="191"/>
      <c r="M206" s="81"/>
    </row>
    <row r="207" spans="4:13">
      <c r="D207" s="52">
        <v>176</v>
      </c>
      <c r="E207" s="286"/>
      <c r="F207" s="286"/>
      <c r="G207" s="81"/>
      <c r="H207" s="81"/>
      <c r="I207" s="81"/>
      <c r="J207" s="81"/>
      <c r="K207" s="81"/>
      <c r="L207" s="191"/>
      <c r="M207" s="81"/>
    </row>
    <row r="208" spans="4:13">
      <c r="D208" s="52">
        <v>177</v>
      </c>
      <c r="E208" s="286"/>
      <c r="F208" s="286"/>
      <c r="G208" s="81"/>
      <c r="H208" s="81"/>
      <c r="I208" s="81"/>
      <c r="J208" s="81"/>
      <c r="K208" s="81"/>
      <c r="L208" s="191"/>
      <c r="M208" s="81"/>
    </row>
    <row r="209" spans="4:13">
      <c r="D209" s="52">
        <v>178</v>
      </c>
      <c r="E209" s="286"/>
      <c r="F209" s="286"/>
      <c r="G209" s="81"/>
      <c r="H209" s="81"/>
      <c r="I209" s="81"/>
      <c r="J209" s="81"/>
      <c r="K209" s="81"/>
      <c r="L209" s="191"/>
      <c r="M209" s="81"/>
    </row>
    <row r="210" spans="4:13">
      <c r="D210" s="52">
        <v>179</v>
      </c>
      <c r="E210" s="286"/>
      <c r="F210" s="286"/>
      <c r="G210" s="81"/>
      <c r="H210" s="81"/>
      <c r="I210" s="81"/>
      <c r="J210" s="81"/>
      <c r="K210" s="81"/>
      <c r="L210" s="191"/>
      <c r="M210" s="81"/>
    </row>
    <row r="211" spans="4:13">
      <c r="D211" s="52">
        <v>180</v>
      </c>
      <c r="E211" s="286"/>
      <c r="F211" s="286"/>
      <c r="G211" s="81"/>
      <c r="H211" s="81"/>
      <c r="I211" s="81"/>
      <c r="J211" s="81"/>
      <c r="K211" s="81"/>
      <c r="L211" s="191"/>
      <c r="M211" s="81"/>
    </row>
    <row r="212" spans="4:13">
      <c r="D212" s="52">
        <v>181</v>
      </c>
      <c r="E212" s="286"/>
      <c r="F212" s="286"/>
      <c r="G212" s="81"/>
      <c r="H212" s="81"/>
      <c r="I212" s="81"/>
      <c r="J212" s="81"/>
      <c r="K212" s="81"/>
      <c r="L212" s="191"/>
      <c r="M212" s="81"/>
    </row>
    <row r="213" spans="4:13">
      <c r="D213" s="52">
        <v>182</v>
      </c>
      <c r="E213" s="286"/>
      <c r="F213" s="286"/>
      <c r="G213" s="81"/>
      <c r="H213" s="81"/>
      <c r="I213" s="81"/>
      <c r="J213" s="81"/>
      <c r="K213" s="81"/>
      <c r="L213" s="191"/>
      <c r="M213" s="81"/>
    </row>
    <row r="214" spans="4:13">
      <c r="D214" s="52">
        <v>183</v>
      </c>
      <c r="E214" s="286"/>
      <c r="F214" s="286"/>
      <c r="G214" s="81"/>
      <c r="H214" s="81"/>
      <c r="I214" s="81"/>
      <c r="J214" s="81"/>
      <c r="K214" s="81"/>
      <c r="L214" s="191"/>
      <c r="M214" s="81"/>
    </row>
    <row r="215" spans="4:13">
      <c r="D215" s="52">
        <v>184</v>
      </c>
      <c r="E215" s="286"/>
      <c r="F215" s="286"/>
      <c r="G215" s="81"/>
      <c r="H215" s="81"/>
      <c r="I215" s="81"/>
      <c r="J215" s="81"/>
      <c r="K215" s="81"/>
      <c r="L215" s="191"/>
      <c r="M215" s="81"/>
    </row>
    <row r="216" spans="4:13">
      <c r="D216" s="52">
        <v>185</v>
      </c>
      <c r="E216" s="286"/>
      <c r="F216" s="286"/>
      <c r="G216" s="81"/>
      <c r="H216" s="81"/>
      <c r="I216" s="81"/>
      <c r="J216" s="81"/>
      <c r="K216" s="81"/>
      <c r="L216" s="191"/>
      <c r="M216" s="81"/>
    </row>
    <row r="217" spans="4:13">
      <c r="D217" s="52">
        <v>186</v>
      </c>
      <c r="E217" s="286"/>
      <c r="F217" s="286"/>
      <c r="G217" s="81"/>
      <c r="H217" s="81"/>
      <c r="I217" s="81"/>
      <c r="J217" s="81"/>
      <c r="K217" s="81"/>
      <c r="L217" s="191"/>
      <c r="M217" s="81"/>
    </row>
    <row r="218" spans="4:13">
      <c r="D218" s="52">
        <v>187</v>
      </c>
      <c r="E218" s="286"/>
      <c r="F218" s="286"/>
      <c r="G218" s="81"/>
      <c r="H218" s="81"/>
      <c r="I218" s="81"/>
      <c r="J218" s="81"/>
      <c r="K218" s="81"/>
      <c r="L218" s="191"/>
      <c r="M218" s="81"/>
    </row>
    <row r="219" spans="4:13">
      <c r="D219" s="52">
        <v>188</v>
      </c>
      <c r="E219" s="286"/>
      <c r="F219" s="286"/>
      <c r="G219" s="81"/>
      <c r="H219" s="81"/>
      <c r="I219" s="81"/>
      <c r="J219" s="81"/>
      <c r="K219" s="81"/>
      <c r="L219" s="191"/>
      <c r="M219" s="81"/>
    </row>
    <row r="220" spans="4:13">
      <c r="D220" s="52">
        <v>189</v>
      </c>
      <c r="E220" s="286"/>
      <c r="F220" s="286"/>
      <c r="G220" s="81"/>
      <c r="H220" s="81"/>
      <c r="I220" s="81"/>
      <c r="J220" s="81"/>
      <c r="K220" s="81"/>
      <c r="L220" s="191"/>
      <c r="M220" s="81"/>
    </row>
    <row r="221" spans="4:13">
      <c r="D221" s="52">
        <v>190</v>
      </c>
      <c r="E221" s="286"/>
      <c r="F221" s="286"/>
      <c r="G221" s="81"/>
      <c r="H221" s="81"/>
      <c r="I221" s="81"/>
      <c r="J221" s="81"/>
      <c r="K221" s="81"/>
      <c r="L221" s="191"/>
      <c r="M221" s="81"/>
    </row>
    <row r="222" spans="4:13">
      <c r="D222" s="52">
        <v>191</v>
      </c>
      <c r="E222" s="286"/>
      <c r="F222" s="286"/>
      <c r="G222" s="81"/>
      <c r="H222" s="81"/>
      <c r="I222" s="81"/>
      <c r="J222" s="81"/>
      <c r="K222" s="81"/>
      <c r="L222" s="191"/>
      <c r="M222" s="81"/>
    </row>
    <row r="223" spans="4:13">
      <c r="D223" s="52">
        <v>192</v>
      </c>
      <c r="E223" s="286"/>
      <c r="F223" s="286"/>
      <c r="G223" s="81"/>
      <c r="H223" s="81"/>
      <c r="I223" s="81"/>
      <c r="J223" s="81"/>
      <c r="K223" s="81"/>
      <c r="L223" s="191"/>
      <c r="M223" s="81"/>
    </row>
    <row r="224" spans="4:13">
      <c r="D224" s="52">
        <v>193</v>
      </c>
      <c r="E224" s="286"/>
      <c r="F224" s="286"/>
      <c r="G224" s="81"/>
      <c r="H224" s="81"/>
      <c r="I224" s="81"/>
      <c r="J224" s="81"/>
      <c r="K224" s="81"/>
      <c r="L224" s="191"/>
      <c r="M224" s="81"/>
    </row>
    <row r="225" spans="4:13">
      <c r="D225" s="52">
        <v>194</v>
      </c>
      <c r="E225" s="286"/>
      <c r="F225" s="286"/>
      <c r="G225" s="81"/>
      <c r="H225" s="81"/>
      <c r="I225" s="81"/>
      <c r="J225" s="81"/>
      <c r="K225" s="81"/>
      <c r="L225" s="191"/>
      <c r="M225" s="81"/>
    </row>
    <row r="226" spans="4:13">
      <c r="D226" s="52">
        <v>195</v>
      </c>
      <c r="E226" s="286"/>
      <c r="F226" s="286"/>
      <c r="G226" s="81"/>
      <c r="H226" s="81"/>
      <c r="I226" s="81"/>
      <c r="J226" s="81"/>
      <c r="K226" s="81"/>
      <c r="L226" s="191"/>
      <c r="M226" s="81"/>
    </row>
    <row r="227" spans="4:13">
      <c r="D227" s="52">
        <v>196</v>
      </c>
      <c r="E227" s="286"/>
      <c r="F227" s="286"/>
      <c r="G227" s="81"/>
      <c r="H227" s="81"/>
      <c r="I227" s="81"/>
      <c r="J227" s="81"/>
      <c r="K227" s="81"/>
      <c r="L227" s="191"/>
      <c r="M227" s="81"/>
    </row>
    <row r="228" spans="4:13">
      <c r="D228" s="52">
        <v>197</v>
      </c>
      <c r="E228" s="286"/>
      <c r="F228" s="286"/>
      <c r="G228" s="81"/>
      <c r="H228" s="81"/>
      <c r="I228" s="81"/>
      <c r="J228" s="81"/>
      <c r="K228" s="81"/>
      <c r="L228" s="191"/>
      <c r="M228" s="81"/>
    </row>
    <row r="229" spans="4:13">
      <c r="D229" s="52">
        <v>198</v>
      </c>
      <c r="E229" s="286"/>
      <c r="F229" s="286"/>
      <c r="G229" s="81"/>
      <c r="H229" s="81"/>
      <c r="I229" s="81"/>
      <c r="J229" s="81"/>
      <c r="K229" s="81"/>
      <c r="L229" s="191"/>
      <c r="M229" s="81"/>
    </row>
    <row r="230" spans="4:13">
      <c r="D230" s="52">
        <v>199</v>
      </c>
      <c r="E230" s="286"/>
      <c r="F230" s="286"/>
      <c r="G230" s="81"/>
      <c r="H230" s="81"/>
      <c r="I230" s="81"/>
      <c r="J230" s="81"/>
      <c r="K230" s="81"/>
      <c r="L230" s="191"/>
      <c r="M230" s="81"/>
    </row>
    <row r="231" spans="4:13">
      <c r="D231" s="52">
        <v>200</v>
      </c>
      <c r="E231" s="286"/>
      <c r="F231" s="286"/>
      <c r="G231" s="81"/>
      <c r="H231" s="81"/>
      <c r="I231" s="81"/>
      <c r="J231" s="81"/>
      <c r="K231" s="81"/>
      <c r="L231" s="191"/>
      <c r="M231" s="81"/>
    </row>
    <row r="232" spans="4:13">
      <c r="D232" s="52">
        <v>201</v>
      </c>
      <c r="E232" s="286"/>
      <c r="F232" s="286"/>
      <c r="G232" s="81"/>
      <c r="H232" s="81"/>
      <c r="I232" s="81"/>
      <c r="J232" s="81"/>
      <c r="K232" s="81"/>
      <c r="L232" s="191"/>
      <c r="M232" s="81"/>
    </row>
    <row r="233" spans="4:13">
      <c r="D233" s="52">
        <v>202</v>
      </c>
      <c r="E233" s="286"/>
      <c r="F233" s="286"/>
      <c r="G233" s="81"/>
      <c r="H233" s="81"/>
      <c r="I233" s="81"/>
      <c r="J233" s="81"/>
      <c r="K233" s="81"/>
      <c r="L233" s="191"/>
      <c r="M233" s="81"/>
    </row>
    <row r="234" spans="4:13">
      <c r="D234" s="52">
        <v>203</v>
      </c>
      <c r="E234" s="286"/>
      <c r="F234" s="286"/>
      <c r="G234" s="81"/>
      <c r="H234" s="81"/>
      <c r="I234" s="81"/>
      <c r="J234" s="81"/>
      <c r="K234" s="81"/>
      <c r="L234" s="191"/>
      <c r="M234" s="81"/>
    </row>
    <row r="235" spans="4:13">
      <c r="D235" s="52">
        <v>204</v>
      </c>
      <c r="E235" s="286"/>
      <c r="F235" s="286"/>
      <c r="G235" s="81"/>
      <c r="H235" s="81"/>
      <c r="I235" s="81"/>
      <c r="J235" s="81"/>
      <c r="K235" s="81"/>
      <c r="L235" s="191"/>
      <c r="M235" s="81"/>
    </row>
    <row r="236" spans="4:13">
      <c r="D236" s="52">
        <v>205</v>
      </c>
      <c r="E236" s="286"/>
      <c r="F236" s="286"/>
      <c r="G236" s="81"/>
      <c r="H236" s="81"/>
      <c r="I236" s="81"/>
      <c r="J236" s="81"/>
      <c r="K236" s="81"/>
      <c r="L236" s="191"/>
      <c r="M236" s="81"/>
    </row>
    <row r="237" spans="4:13">
      <c r="D237" s="52">
        <v>206</v>
      </c>
      <c r="E237" s="286"/>
      <c r="F237" s="286"/>
      <c r="G237" s="81"/>
      <c r="H237" s="81"/>
      <c r="I237" s="81"/>
      <c r="J237" s="81"/>
      <c r="K237" s="81"/>
      <c r="L237" s="191"/>
      <c r="M237" s="81"/>
    </row>
    <row r="238" spans="4:13">
      <c r="D238" s="52">
        <v>207</v>
      </c>
      <c r="E238" s="286"/>
      <c r="F238" s="286"/>
      <c r="G238" s="81"/>
      <c r="H238" s="81"/>
      <c r="I238" s="81"/>
      <c r="J238" s="81"/>
      <c r="K238" s="81"/>
      <c r="L238" s="191"/>
      <c r="M238" s="81"/>
    </row>
    <row r="239" spans="4:13">
      <c r="D239" s="52">
        <v>208</v>
      </c>
      <c r="E239" s="286"/>
      <c r="F239" s="286"/>
      <c r="G239" s="81"/>
      <c r="H239" s="81"/>
      <c r="I239" s="81"/>
      <c r="J239" s="81"/>
      <c r="K239" s="81"/>
      <c r="L239" s="191"/>
      <c r="M239" s="81"/>
    </row>
    <row r="240" spans="4:13">
      <c r="D240" s="52">
        <v>209</v>
      </c>
      <c r="E240" s="286"/>
      <c r="F240" s="286"/>
      <c r="G240" s="81"/>
      <c r="H240" s="81"/>
      <c r="I240" s="81"/>
      <c r="J240" s="81"/>
      <c r="K240" s="81"/>
      <c r="L240" s="191"/>
      <c r="M240" s="81"/>
    </row>
    <row r="241" spans="4:13">
      <c r="D241" s="52">
        <v>210</v>
      </c>
      <c r="E241" s="286"/>
      <c r="F241" s="286"/>
      <c r="G241" s="81"/>
      <c r="H241" s="81"/>
      <c r="I241" s="81"/>
      <c r="J241" s="81"/>
      <c r="K241" s="81"/>
      <c r="L241" s="191"/>
      <c r="M241" s="81"/>
    </row>
    <row r="242" spans="4:13">
      <c r="D242" s="52">
        <v>211</v>
      </c>
      <c r="E242" s="286"/>
      <c r="F242" s="286"/>
      <c r="G242" s="81"/>
      <c r="H242" s="81"/>
      <c r="I242" s="81"/>
      <c r="J242" s="81"/>
      <c r="K242" s="81"/>
      <c r="L242" s="191"/>
      <c r="M242" s="81"/>
    </row>
    <row r="243" spans="4:13">
      <c r="D243" s="52">
        <v>212</v>
      </c>
      <c r="E243" s="286"/>
      <c r="F243" s="286"/>
      <c r="G243" s="81"/>
      <c r="H243" s="81"/>
      <c r="I243" s="81"/>
      <c r="J243" s="81"/>
      <c r="K243" s="81"/>
      <c r="L243" s="191"/>
      <c r="M243" s="81"/>
    </row>
    <row r="244" spans="4:13">
      <c r="D244" s="52">
        <v>213</v>
      </c>
      <c r="E244" s="286"/>
      <c r="F244" s="286"/>
      <c r="G244" s="81"/>
      <c r="H244" s="81"/>
      <c r="I244" s="81"/>
      <c r="J244" s="81"/>
      <c r="K244" s="81"/>
      <c r="L244" s="191"/>
      <c r="M244" s="81"/>
    </row>
    <row r="245" spans="4:13">
      <c r="D245" s="52">
        <v>214</v>
      </c>
      <c r="E245" s="286"/>
      <c r="F245" s="286"/>
      <c r="G245" s="81"/>
      <c r="H245" s="81"/>
      <c r="I245" s="81"/>
      <c r="J245" s="81"/>
      <c r="K245" s="81"/>
      <c r="L245" s="191"/>
      <c r="M245" s="81"/>
    </row>
    <row r="246" spans="4:13">
      <c r="D246" s="52">
        <v>215</v>
      </c>
      <c r="E246" s="286"/>
      <c r="F246" s="286"/>
      <c r="G246" s="81"/>
      <c r="H246" s="81"/>
      <c r="I246" s="81"/>
      <c r="J246" s="81"/>
      <c r="K246" s="81"/>
      <c r="L246" s="191"/>
      <c r="M246" s="81"/>
    </row>
    <row r="247" spans="4:13">
      <c r="D247" s="52">
        <v>216</v>
      </c>
      <c r="E247" s="286"/>
      <c r="F247" s="286"/>
      <c r="G247" s="81"/>
      <c r="H247" s="81"/>
      <c r="I247" s="81"/>
      <c r="J247" s="81"/>
      <c r="K247" s="81"/>
      <c r="L247" s="191"/>
      <c r="M247" s="81"/>
    </row>
    <row r="248" spans="4:13">
      <c r="D248" s="52">
        <v>217</v>
      </c>
      <c r="E248" s="286"/>
      <c r="F248" s="286"/>
      <c r="G248" s="81"/>
      <c r="H248" s="81"/>
      <c r="I248" s="81"/>
      <c r="J248" s="81"/>
      <c r="K248" s="81"/>
      <c r="L248" s="191"/>
      <c r="M248" s="81"/>
    </row>
    <row r="249" spans="4:13">
      <c r="D249" s="52">
        <v>218</v>
      </c>
      <c r="E249" s="286"/>
      <c r="F249" s="286"/>
      <c r="G249" s="81"/>
      <c r="H249" s="81"/>
      <c r="I249" s="81"/>
      <c r="J249" s="81"/>
      <c r="K249" s="81"/>
      <c r="L249" s="191"/>
      <c r="M249" s="81"/>
    </row>
    <row r="250" spans="4:13">
      <c r="D250" s="52">
        <v>219</v>
      </c>
      <c r="E250" s="286"/>
      <c r="F250" s="286"/>
      <c r="G250" s="81"/>
      <c r="H250" s="81"/>
      <c r="I250" s="81"/>
      <c r="J250" s="81"/>
      <c r="K250" s="81"/>
      <c r="L250" s="191"/>
      <c r="M250" s="81"/>
    </row>
    <row r="251" spans="4:13">
      <c r="D251" s="52">
        <v>220</v>
      </c>
      <c r="E251" s="286"/>
      <c r="F251" s="286"/>
      <c r="G251" s="81"/>
      <c r="H251" s="81"/>
      <c r="I251" s="81"/>
      <c r="J251" s="81"/>
      <c r="K251" s="81"/>
      <c r="L251" s="191"/>
      <c r="M251" s="81"/>
    </row>
    <row r="252" spans="4:13">
      <c r="D252" s="52">
        <v>221</v>
      </c>
      <c r="E252" s="286"/>
      <c r="F252" s="286"/>
      <c r="G252" s="81"/>
      <c r="H252" s="81"/>
      <c r="I252" s="81"/>
      <c r="J252" s="81"/>
      <c r="K252" s="81"/>
      <c r="L252" s="191"/>
      <c r="M252" s="81"/>
    </row>
    <row r="253" spans="4:13">
      <c r="D253" s="52">
        <v>222</v>
      </c>
      <c r="E253" s="286"/>
      <c r="F253" s="286"/>
      <c r="G253" s="81"/>
      <c r="H253" s="81"/>
      <c r="I253" s="81"/>
      <c r="J253" s="81"/>
      <c r="K253" s="81"/>
      <c r="L253" s="191"/>
      <c r="M253" s="81"/>
    </row>
    <row r="254" spans="4:13">
      <c r="D254" s="52">
        <v>223</v>
      </c>
      <c r="E254" s="286"/>
      <c r="F254" s="286"/>
      <c r="G254" s="81"/>
      <c r="H254" s="81"/>
      <c r="I254" s="81"/>
      <c r="J254" s="81"/>
      <c r="K254" s="81"/>
      <c r="L254" s="191"/>
      <c r="M254" s="81"/>
    </row>
    <row r="255" spans="4:13">
      <c r="D255" s="52">
        <v>224</v>
      </c>
      <c r="E255" s="286"/>
      <c r="F255" s="286"/>
      <c r="G255" s="81"/>
      <c r="H255" s="81"/>
      <c r="I255" s="81"/>
      <c r="J255" s="81"/>
      <c r="K255" s="81"/>
      <c r="L255" s="191"/>
      <c r="M255" s="81"/>
    </row>
    <row r="256" spans="4:13">
      <c r="D256" s="52">
        <v>225</v>
      </c>
      <c r="E256" s="286"/>
      <c r="F256" s="286"/>
      <c r="G256" s="81"/>
      <c r="H256" s="81"/>
      <c r="I256" s="81"/>
      <c r="J256" s="81"/>
      <c r="K256" s="81"/>
      <c r="L256" s="191"/>
      <c r="M256" s="81"/>
    </row>
    <row r="257" spans="4:13">
      <c r="D257" s="52">
        <v>226</v>
      </c>
      <c r="E257" s="286"/>
      <c r="F257" s="286"/>
      <c r="G257" s="81"/>
      <c r="H257" s="81"/>
      <c r="I257" s="81"/>
      <c r="J257" s="81"/>
      <c r="K257" s="81"/>
      <c r="L257" s="191"/>
      <c r="M257" s="81"/>
    </row>
    <row r="258" spans="4:13">
      <c r="D258" s="52">
        <v>227</v>
      </c>
      <c r="E258" s="286"/>
      <c r="F258" s="286"/>
      <c r="G258" s="81"/>
      <c r="H258" s="81"/>
      <c r="I258" s="81"/>
      <c r="J258" s="81"/>
      <c r="K258" s="81"/>
      <c r="L258" s="191"/>
      <c r="M258" s="81"/>
    </row>
    <row r="259" spans="4:13">
      <c r="D259" s="52">
        <v>228</v>
      </c>
      <c r="E259" s="286"/>
      <c r="F259" s="286"/>
      <c r="G259" s="81"/>
      <c r="H259" s="81"/>
      <c r="I259" s="81"/>
      <c r="J259" s="81"/>
      <c r="K259" s="81"/>
      <c r="L259" s="191"/>
      <c r="M259" s="81"/>
    </row>
    <row r="260" spans="4:13">
      <c r="D260" s="52">
        <v>229</v>
      </c>
      <c r="E260" s="286"/>
      <c r="F260" s="286"/>
      <c r="G260" s="81"/>
      <c r="H260" s="81"/>
      <c r="I260" s="81"/>
      <c r="J260" s="81"/>
      <c r="K260" s="81"/>
      <c r="L260" s="191"/>
      <c r="M260" s="81"/>
    </row>
    <row r="261" spans="4:13">
      <c r="D261" s="52">
        <v>230</v>
      </c>
      <c r="E261" s="286"/>
      <c r="F261" s="286"/>
      <c r="G261" s="81"/>
      <c r="H261" s="81"/>
      <c r="I261" s="81"/>
      <c r="J261" s="81"/>
      <c r="K261" s="81"/>
      <c r="L261" s="191"/>
      <c r="M261" s="81"/>
    </row>
    <row r="262" spans="4:13">
      <c r="D262" s="52">
        <v>231</v>
      </c>
      <c r="E262" s="286"/>
      <c r="F262" s="286"/>
      <c r="G262" s="81"/>
      <c r="H262" s="81"/>
      <c r="I262" s="81"/>
      <c r="J262" s="81"/>
      <c r="K262" s="81"/>
      <c r="L262" s="191"/>
      <c r="M262" s="81"/>
    </row>
    <row r="263" spans="4:13">
      <c r="D263" s="52">
        <v>232</v>
      </c>
      <c r="E263" s="286"/>
      <c r="F263" s="286"/>
      <c r="G263" s="81"/>
      <c r="H263" s="81"/>
      <c r="I263" s="81"/>
      <c r="J263" s="81"/>
      <c r="K263" s="81"/>
      <c r="L263" s="191"/>
      <c r="M263" s="81"/>
    </row>
    <row r="264" spans="4:13">
      <c r="D264" s="52">
        <v>233</v>
      </c>
      <c r="E264" s="286"/>
      <c r="F264" s="286"/>
      <c r="G264" s="81"/>
      <c r="H264" s="81"/>
      <c r="I264" s="81"/>
      <c r="J264" s="81"/>
      <c r="K264" s="81"/>
      <c r="L264" s="191"/>
      <c r="M264" s="81"/>
    </row>
    <row r="265" spans="4:13">
      <c r="D265" s="52">
        <v>234</v>
      </c>
      <c r="E265" s="286"/>
      <c r="F265" s="286"/>
      <c r="G265" s="81"/>
      <c r="H265" s="81"/>
      <c r="I265" s="81"/>
      <c r="J265" s="81"/>
      <c r="K265" s="81"/>
      <c r="L265" s="191"/>
      <c r="M265" s="81"/>
    </row>
    <row r="266" spans="4:13">
      <c r="D266" s="52">
        <v>235</v>
      </c>
      <c r="E266" s="286"/>
      <c r="F266" s="286"/>
      <c r="G266" s="81"/>
      <c r="H266" s="81"/>
      <c r="I266" s="81"/>
      <c r="J266" s="81"/>
      <c r="K266" s="81"/>
      <c r="L266" s="191"/>
      <c r="M266" s="81"/>
    </row>
    <row r="267" spans="4:13">
      <c r="D267" s="52">
        <v>236</v>
      </c>
      <c r="E267" s="286"/>
      <c r="F267" s="286"/>
      <c r="G267" s="81"/>
      <c r="H267" s="81"/>
      <c r="I267" s="81"/>
      <c r="J267" s="81"/>
      <c r="K267" s="81"/>
      <c r="L267" s="191"/>
      <c r="M267" s="81"/>
    </row>
    <row r="268" spans="4:13">
      <c r="D268" s="52">
        <v>237</v>
      </c>
      <c r="E268" s="286"/>
      <c r="F268" s="286"/>
      <c r="G268" s="81"/>
      <c r="H268" s="81"/>
      <c r="I268" s="81"/>
      <c r="J268" s="81"/>
      <c r="K268" s="81"/>
      <c r="L268" s="191"/>
      <c r="M268" s="81"/>
    </row>
    <row r="269" spans="4:13">
      <c r="D269" s="52">
        <v>238</v>
      </c>
      <c r="E269" s="286"/>
      <c r="F269" s="286"/>
      <c r="G269" s="81"/>
      <c r="H269" s="81"/>
      <c r="I269" s="81"/>
      <c r="J269" s="81"/>
      <c r="K269" s="81"/>
      <c r="L269" s="191"/>
      <c r="M269" s="81"/>
    </row>
    <row r="270" spans="4:13">
      <c r="D270" s="52">
        <v>239</v>
      </c>
      <c r="E270" s="286"/>
      <c r="F270" s="286"/>
      <c r="G270" s="81"/>
      <c r="H270" s="81"/>
      <c r="I270" s="81"/>
      <c r="J270" s="81"/>
      <c r="K270" s="81"/>
      <c r="L270" s="191"/>
      <c r="M270" s="81"/>
    </row>
    <row r="271" spans="4:13">
      <c r="D271" s="52">
        <v>240</v>
      </c>
      <c r="E271" s="286"/>
      <c r="F271" s="286"/>
      <c r="G271" s="81"/>
      <c r="H271" s="81"/>
      <c r="I271" s="81"/>
      <c r="J271" s="81"/>
      <c r="K271" s="81"/>
      <c r="L271" s="191"/>
      <c r="M271" s="81"/>
    </row>
    <row r="272" spans="4:13">
      <c r="D272" s="52">
        <v>241</v>
      </c>
      <c r="E272" s="286"/>
      <c r="F272" s="286"/>
      <c r="G272" s="81"/>
      <c r="H272" s="81"/>
      <c r="I272" s="81"/>
      <c r="J272" s="81"/>
      <c r="K272" s="81"/>
      <c r="L272" s="191"/>
      <c r="M272" s="81"/>
    </row>
    <row r="273" spans="1:1014">
      <c r="D273" s="52">
        <v>242</v>
      </c>
      <c r="E273" s="286"/>
      <c r="F273" s="286"/>
      <c r="G273" s="81"/>
      <c r="H273" s="81"/>
      <c r="I273" s="81"/>
      <c r="J273" s="81"/>
      <c r="K273" s="81"/>
      <c r="L273" s="191"/>
      <c r="M273" s="81"/>
    </row>
    <row r="274" spans="1:1014">
      <c r="D274" s="52">
        <v>243</v>
      </c>
      <c r="E274" s="286"/>
      <c r="F274" s="286"/>
      <c r="G274" s="81"/>
      <c r="H274" s="81"/>
      <c r="I274" s="81"/>
      <c r="J274" s="81"/>
      <c r="K274" s="81"/>
      <c r="L274" s="191"/>
      <c r="M274" s="81"/>
    </row>
    <row r="275" spans="1:1014">
      <c r="D275" s="52">
        <v>244</v>
      </c>
      <c r="E275" s="286"/>
      <c r="F275" s="286"/>
      <c r="G275" s="81"/>
      <c r="H275" s="81"/>
      <c r="I275" s="81"/>
      <c r="J275" s="81"/>
      <c r="K275" s="81"/>
      <c r="L275" s="191"/>
      <c r="M275" s="81"/>
    </row>
    <row r="276" spans="1:1014">
      <c r="D276" s="52">
        <v>245</v>
      </c>
      <c r="E276" s="286"/>
      <c r="F276" s="286"/>
      <c r="G276" s="81"/>
      <c r="H276" s="81"/>
      <c r="I276" s="81"/>
      <c r="J276" s="81"/>
      <c r="K276" s="81"/>
      <c r="L276" s="191"/>
      <c r="M276" s="81"/>
    </row>
    <row r="277" spans="1:1014">
      <c r="D277" s="52">
        <v>246</v>
      </c>
      <c r="E277" s="286"/>
      <c r="F277" s="286"/>
      <c r="G277" s="81"/>
      <c r="H277" s="81"/>
      <c r="I277" s="81"/>
      <c r="J277" s="81"/>
      <c r="K277" s="81"/>
      <c r="L277" s="191"/>
      <c r="M277" s="81"/>
    </row>
    <row r="278" spans="1:1014">
      <c r="D278" s="52">
        <v>247</v>
      </c>
      <c r="E278" s="286"/>
      <c r="F278" s="286"/>
      <c r="G278" s="81"/>
      <c r="H278" s="81"/>
      <c r="I278" s="81"/>
      <c r="J278" s="81"/>
      <c r="K278" s="81"/>
      <c r="L278" s="191"/>
      <c r="M278" s="81"/>
    </row>
    <row r="279" spans="1:1014">
      <c r="D279" s="52">
        <v>248</v>
      </c>
      <c r="E279" s="286"/>
      <c r="F279" s="286"/>
      <c r="G279" s="81"/>
      <c r="H279" s="81"/>
      <c r="I279" s="81"/>
      <c r="J279" s="81"/>
      <c r="K279" s="81"/>
      <c r="L279" s="191"/>
      <c r="M279" s="81"/>
    </row>
    <row r="280" spans="1:1014">
      <c r="D280" s="52">
        <v>249</v>
      </c>
      <c r="E280" s="286"/>
      <c r="F280" s="286"/>
      <c r="G280" s="81"/>
      <c r="H280" s="81"/>
      <c r="I280" s="81"/>
      <c r="J280" s="81"/>
      <c r="K280" s="81"/>
      <c r="L280" s="191"/>
      <c r="M280" s="81"/>
    </row>
    <row r="281" spans="1:1014" s="57" customFormat="1">
      <c r="A281" s="55"/>
      <c r="B281" s="55"/>
      <c r="C281" s="55"/>
      <c r="D281" s="56">
        <v>250</v>
      </c>
      <c r="E281" s="304"/>
      <c r="F281" s="304"/>
      <c r="G281" s="81"/>
      <c r="H281" s="81"/>
      <c r="I281" s="81"/>
      <c r="J281" s="192"/>
      <c r="K281" s="81"/>
      <c r="L281" s="191"/>
      <c r="M281" s="81"/>
      <c r="O281" s="55"/>
      <c r="P281" s="55"/>
      <c r="Q281" s="55"/>
      <c r="R281" s="55"/>
      <c r="S281" s="55"/>
      <c r="T281" s="55"/>
      <c r="U281" s="55"/>
      <c r="V281" s="55"/>
      <c r="W281" s="55"/>
      <c r="X281" s="55"/>
      <c r="Y281" s="55"/>
      <c r="Z281" s="55"/>
      <c r="AA281" s="55"/>
      <c r="AB281" s="55"/>
      <c r="AC281" s="55"/>
      <c r="AD281" s="55"/>
      <c r="AE281" s="55"/>
      <c r="AF281" s="55"/>
      <c r="AG281" s="55"/>
      <c r="AH281" s="55"/>
      <c r="AI281" s="55"/>
      <c r="AJ281" s="55"/>
      <c r="AK281" s="55"/>
      <c r="AL281" s="55"/>
      <c r="AM281" s="55"/>
      <c r="AN281" s="55"/>
      <c r="AO281" s="55"/>
      <c r="AP281" s="55"/>
      <c r="AQ281" s="55"/>
      <c r="AR281" s="55"/>
      <c r="AS281" s="55"/>
      <c r="AT281" s="55"/>
      <c r="AU281" s="55"/>
      <c r="AV281" s="55"/>
      <c r="AW281" s="55"/>
      <c r="AX281" s="55"/>
      <c r="AY281" s="55"/>
      <c r="AZ281" s="55"/>
      <c r="BA281" s="55"/>
      <c r="BB281" s="55"/>
      <c r="BC281" s="55"/>
      <c r="BD281" s="55"/>
      <c r="BE281" s="55"/>
      <c r="BF281" s="55"/>
      <c r="BG281" s="55"/>
      <c r="BH281" s="55"/>
      <c r="BI281" s="55"/>
      <c r="BJ281" s="55"/>
      <c r="BK281" s="55"/>
      <c r="BL281" s="55"/>
      <c r="BM281" s="55"/>
      <c r="BN281" s="55"/>
      <c r="BO281" s="55"/>
      <c r="BP281" s="55"/>
      <c r="BQ281" s="55"/>
      <c r="BR281" s="55"/>
      <c r="BS281" s="55"/>
      <c r="BT281" s="55"/>
      <c r="BU281" s="55"/>
      <c r="BV281" s="55"/>
      <c r="BW281" s="55"/>
      <c r="BX281" s="55"/>
      <c r="BY281" s="55"/>
      <c r="BZ281" s="55"/>
      <c r="CA281" s="55"/>
      <c r="CB281" s="55"/>
      <c r="CC281" s="55"/>
      <c r="CD281" s="55"/>
      <c r="CE281" s="55"/>
      <c r="CF281" s="55"/>
      <c r="CG281" s="55"/>
      <c r="CH281" s="55"/>
      <c r="CI281" s="55"/>
      <c r="CJ281" s="55"/>
      <c r="CK281" s="55"/>
      <c r="CL281" s="55"/>
      <c r="CM281" s="55"/>
      <c r="CN281" s="55"/>
      <c r="CO281" s="55"/>
      <c r="CP281" s="55"/>
      <c r="CQ281" s="55"/>
      <c r="CR281" s="55"/>
      <c r="CS281" s="55"/>
      <c r="CT281" s="55"/>
      <c r="CU281" s="55"/>
      <c r="CV281" s="55"/>
      <c r="CW281" s="55"/>
      <c r="CX281" s="55"/>
      <c r="CY281" s="55"/>
      <c r="CZ281" s="55"/>
      <c r="DA281" s="55"/>
      <c r="DB281" s="55"/>
      <c r="DC281" s="55"/>
      <c r="DD281" s="55"/>
      <c r="DE281" s="55"/>
      <c r="DF281" s="55"/>
      <c r="DG281" s="55"/>
      <c r="DH281" s="55"/>
      <c r="DI281" s="55"/>
      <c r="DJ281" s="55"/>
      <c r="DK281" s="55"/>
      <c r="DL281" s="55"/>
      <c r="DM281" s="55"/>
      <c r="DN281" s="55"/>
      <c r="DO281" s="55"/>
      <c r="DP281" s="55"/>
      <c r="DQ281" s="55"/>
      <c r="DR281" s="55"/>
      <c r="DS281" s="55"/>
      <c r="DT281" s="55"/>
      <c r="DU281" s="55"/>
      <c r="DV281" s="55"/>
      <c r="DW281" s="55"/>
      <c r="DX281" s="55"/>
      <c r="DY281" s="55"/>
      <c r="DZ281" s="55"/>
      <c r="EA281" s="55"/>
      <c r="EB281" s="55"/>
      <c r="EC281" s="55"/>
      <c r="ED281" s="55"/>
      <c r="EE281" s="55"/>
      <c r="EF281" s="55"/>
      <c r="EG281" s="55"/>
      <c r="EH281" s="55"/>
      <c r="EI281" s="55"/>
      <c r="EJ281" s="55"/>
      <c r="EK281" s="55"/>
      <c r="EL281" s="55"/>
      <c r="EM281" s="55"/>
      <c r="EN281" s="55"/>
      <c r="EO281" s="55"/>
      <c r="EP281" s="55"/>
      <c r="EQ281" s="55"/>
      <c r="ER281" s="55"/>
      <c r="ES281" s="55"/>
      <c r="ET281" s="55"/>
      <c r="EU281" s="55"/>
      <c r="EV281" s="55"/>
      <c r="EW281" s="55"/>
      <c r="EX281" s="55"/>
      <c r="EY281" s="55"/>
      <c r="EZ281" s="55"/>
      <c r="FA281" s="55"/>
      <c r="FB281" s="55"/>
      <c r="FC281" s="55"/>
      <c r="FD281" s="55"/>
      <c r="FE281" s="55"/>
      <c r="FF281" s="55"/>
      <c r="FG281" s="55"/>
      <c r="FH281" s="55"/>
      <c r="FI281" s="55"/>
      <c r="FJ281" s="55"/>
      <c r="FK281" s="55"/>
      <c r="FL281" s="55"/>
      <c r="FM281" s="55"/>
      <c r="FN281" s="55"/>
      <c r="FO281" s="55"/>
      <c r="FP281" s="55"/>
      <c r="FQ281" s="55"/>
      <c r="FR281" s="55"/>
      <c r="FS281" s="55"/>
      <c r="FT281" s="55"/>
      <c r="FU281" s="55"/>
      <c r="FV281" s="55"/>
      <c r="FW281" s="55"/>
      <c r="FX281" s="55"/>
      <c r="FY281" s="55"/>
      <c r="FZ281" s="55"/>
      <c r="GA281" s="55"/>
      <c r="GB281" s="55"/>
      <c r="GC281" s="55"/>
      <c r="GD281" s="55"/>
      <c r="GE281" s="55"/>
      <c r="GF281" s="55"/>
      <c r="GG281" s="55"/>
      <c r="GH281" s="55"/>
      <c r="GI281" s="55"/>
      <c r="GJ281" s="55"/>
      <c r="GK281" s="55"/>
      <c r="GL281" s="55"/>
      <c r="GM281" s="55"/>
      <c r="GN281" s="55"/>
      <c r="GO281" s="55"/>
      <c r="GP281" s="55"/>
      <c r="GQ281" s="55"/>
      <c r="GR281" s="55"/>
      <c r="GS281" s="55"/>
      <c r="GT281" s="55"/>
      <c r="GU281" s="55"/>
      <c r="GV281" s="55"/>
      <c r="GW281" s="55"/>
      <c r="GX281" s="55"/>
      <c r="GY281" s="55"/>
      <c r="GZ281" s="55"/>
      <c r="HA281" s="55"/>
      <c r="HB281" s="55"/>
      <c r="HC281" s="55"/>
      <c r="HD281" s="55"/>
      <c r="HE281" s="55"/>
      <c r="HF281" s="55"/>
      <c r="HG281" s="55"/>
      <c r="HH281" s="55"/>
      <c r="HI281" s="55"/>
      <c r="HJ281" s="55"/>
      <c r="HK281" s="55"/>
      <c r="HL281" s="55"/>
      <c r="HM281" s="55"/>
      <c r="HN281" s="55"/>
      <c r="HO281" s="55"/>
      <c r="HP281" s="55"/>
      <c r="HQ281" s="55"/>
      <c r="HR281" s="55"/>
      <c r="HS281" s="55"/>
      <c r="HT281" s="55"/>
      <c r="HU281" s="55"/>
      <c r="HV281" s="55"/>
      <c r="HW281" s="55"/>
      <c r="HX281" s="55"/>
      <c r="HY281" s="55"/>
      <c r="HZ281" s="55"/>
      <c r="IA281" s="55"/>
      <c r="IB281" s="55"/>
      <c r="IC281" s="55"/>
      <c r="ID281" s="55"/>
      <c r="IE281" s="55"/>
      <c r="IF281" s="55"/>
      <c r="IG281" s="55"/>
      <c r="IH281" s="55"/>
      <c r="II281" s="55"/>
      <c r="IJ281" s="55"/>
      <c r="IK281" s="55"/>
      <c r="IL281" s="55"/>
      <c r="IM281" s="55"/>
      <c r="IN281" s="55"/>
      <c r="IO281" s="55"/>
      <c r="IP281" s="55"/>
      <c r="IQ281" s="55"/>
      <c r="IR281" s="55"/>
      <c r="IS281" s="55"/>
      <c r="IT281" s="55"/>
      <c r="IU281" s="55"/>
      <c r="IV281" s="55"/>
      <c r="IW281" s="55"/>
      <c r="IX281" s="55"/>
      <c r="IY281" s="55"/>
      <c r="IZ281" s="55"/>
      <c r="JA281" s="55"/>
      <c r="JB281" s="55"/>
      <c r="JC281" s="55"/>
      <c r="JD281" s="55"/>
      <c r="JE281" s="55"/>
      <c r="JF281" s="55"/>
      <c r="JG281" s="55"/>
      <c r="JH281" s="55"/>
      <c r="JI281" s="55"/>
      <c r="JJ281" s="55"/>
      <c r="JK281" s="55"/>
      <c r="JL281" s="55"/>
      <c r="JM281" s="55"/>
      <c r="JN281" s="55"/>
      <c r="JO281" s="55"/>
      <c r="JP281" s="55"/>
      <c r="JQ281" s="55"/>
      <c r="JR281" s="55"/>
      <c r="JS281" s="55"/>
      <c r="JT281" s="55"/>
      <c r="JU281" s="55"/>
      <c r="JV281" s="55"/>
      <c r="JW281" s="55"/>
      <c r="JX281" s="55"/>
      <c r="JY281" s="55"/>
      <c r="JZ281" s="55"/>
      <c r="KA281" s="55"/>
      <c r="KB281" s="55"/>
      <c r="KC281" s="55"/>
      <c r="KD281" s="55"/>
      <c r="KE281" s="55"/>
      <c r="KF281" s="55"/>
      <c r="KG281" s="55"/>
      <c r="KH281" s="55"/>
      <c r="KI281" s="55"/>
      <c r="KJ281" s="55"/>
      <c r="KK281" s="55"/>
      <c r="KL281" s="55"/>
      <c r="KM281" s="55"/>
      <c r="KN281" s="55"/>
      <c r="KO281" s="55"/>
      <c r="KP281" s="55"/>
      <c r="KQ281" s="55"/>
      <c r="KR281" s="55"/>
      <c r="KS281" s="55"/>
      <c r="KT281" s="55"/>
      <c r="KU281" s="55"/>
      <c r="KV281" s="55"/>
      <c r="KW281" s="55"/>
      <c r="KX281" s="55"/>
      <c r="KY281" s="55"/>
      <c r="KZ281" s="55"/>
      <c r="LA281" s="55"/>
      <c r="LB281" s="55"/>
      <c r="LC281" s="55"/>
      <c r="LD281" s="55"/>
      <c r="LE281" s="55"/>
      <c r="LF281" s="55"/>
      <c r="LG281" s="55"/>
      <c r="LH281" s="55"/>
      <c r="LI281" s="55"/>
      <c r="LJ281" s="55"/>
      <c r="LK281" s="55"/>
      <c r="LL281" s="55"/>
      <c r="LM281" s="55"/>
      <c r="LN281" s="55"/>
      <c r="LO281" s="55"/>
      <c r="LP281" s="55"/>
      <c r="LQ281" s="55"/>
      <c r="LR281" s="55"/>
      <c r="LS281" s="55"/>
      <c r="LT281" s="55"/>
      <c r="LU281" s="55"/>
      <c r="LV281" s="55"/>
      <c r="LW281" s="55"/>
      <c r="LX281" s="55"/>
      <c r="LY281" s="55"/>
      <c r="LZ281" s="55"/>
      <c r="MA281" s="55"/>
      <c r="MB281" s="55"/>
      <c r="MC281" s="55"/>
      <c r="MD281" s="55"/>
      <c r="ME281" s="55"/>
      <c r="MF281" s="55"/>
      <c r="MG281" s="55"/>
      <c r="MH281" s="55"/>
      <c r="MI281" s="55"/>
      <c r="MJ281" s="55"/>
      <c r="MK281" s="55"/>
      <c r="ML281" s="55"/>
      <c r="MM281" s="55"/>
      <c r="MN281" s="55"/>
      <c r="MO281" s="55"/>
      <c r="MP281" s="55"/>
      <c r="MQ281" s="55"/>
      <c r="MR281" s="55"/>
      <c r="MS281" s="55"/>
      <c r="MT281" s="55"/>
      <c r="MU281" s="55"/>
      <c r="MV281" s="55"/>
      <c r="MW281" s="55"/>
      <c r="MX281" s="55"/>
      <c r="MY281" s="55"/>
      <c r="MZ281" s="55"/>
      <c r="NA281" s="55"/>
      <c r="NB281" s="55"/>
      <c r="NC281" s="55"/>
      <c r="ND281" s="55"/>
      <c r="NE281" s="55"/>
      <c r="NF281" s="55"/>
      <c r="NG281" s="55"/>
      <c r="NH281" s="55"/>
      <c r="NI281" s="55"/>
      <c r="NJ281" s="55"/>
      <c r="NK281" s="55"/>
      <c r="NL281" s="55"/>
      <c r="NM281" s="55"/>
      <c r="NN281" s="55"/>
      <c r="NO281" s="55"/>
      <c r="NP281" s="55"/>
      <c r="NQ281" s="55"/>
      <c r="NR281" s="55"/>
      <c r="NS281" s="55"/>
      <c r="NT281" s="55"/>
      <c r="NU281" s="55"/>
      <c r="NV281" s="55"/>
      <c r="NW281" s="55"/>
      <c r="NX281" s="55"/>
      <c r="NY281" s="55"/>
      <c r="NZ281" s="55"/>
      <c r="OA281" s="55"/>
      <c r="OB281" s="55"/>
      <c r="OC281" s="55"/>
      <c r="OD281" s="55"/>
      <c r="OE281" s="55"/>
      <c r="OF281" s="55"/>
      <c r="OG281" s="55"/>
      <c r="OH281" s="55"/>
      <c r="OI281" s="55"/>
      <c r="OJ281" s="55"/>
      <c r="OK281" s="55"/>
      <c r="OL281" s="55"/>
      <c r="OM281" s="55"/>
      <c r="ON281" s="55"/>
      <c r="OO281" s="55"/>
      <c r="OP281" s="55"/>
      <c r="OQ281" s="55"/>
      <c r="OR281" s="55"/>
      <c r="OS281" s="55"/>
      <c r="OT281" s="55"/>
      <c r="OU281" s="55"/>
      <c r="OV281" s="55"/>
      <c r="OW281" s="55"/>
      <c r="OX281" s="55"/>
      <c r="OY281" s="55"/>
      <c r="OZ281" s="55"/>
      <c r="PA281" s="55"/>
      <c r="PB281" s="55"/>
      <c r="PC281" s="55"/>
      <c r="PD281" s="55"/>
      <c r="PE281" s="55"/>
      <c r="PF281" s="55"/>
      <c r="PG281" s="55"/>
      <c r="PH281" s="55"/>
      <c r="PI281" s="55"/>
      <c r="PJ281" s="55"/>
      <c r="PK281" s="55"/>
      <c r="PL281" s="55"/>
      <c r="PM281" s="55"/>
      <c r="PN281" s="55"/>
      <c r="PO281" s="55"/>
      <c r="PP281" s="55"/>
      <c r="PQ281" s="55"/>
      <c r="PR281" s="55"/>
      <c r="PS281" s="55"/>
      <c r="PT281" s="55"/>
      <c r="PU281" s="55"/>
      <c r="PV281" s="55"/>
      <c r="PW281" s="55"/>
      <c r="PX281" s="55"/>
      <c r="PY281" s="55"/>
      <c r="PZ281" s="55"/>
      <c r="QA281" s="55"/>
      <c r="QB281" s="55"/>
      <c r="QC281" s="55"/>
      <c r="QD281" s="55"/>
      <c r="QE281" s="55"/>
      <c r="QF281" s="55"/>
      <c r="QG281" s="55"/>
      <c r="QH281" s="55"/>
      <c r="QI281" s="55"/>
      <c r="QJ281" s="55"/>
      <c r="QK281" s="55"/>
      <c r="QL281" s="55"/>
      <c r="QM281" s="55"/>
      <c r="QN281" s="55"/>
      <c r="QO281" s="55"/>
      <c r="QP281" s="55"/>
      <c r="QQ281" s="55"/>
      <c r="QR281" s="55"/>
      <c r="QS281" s="55"/>
      <c r="QT281" s="55"/>
      <c r="QU281" s="55"/>
      <c r="QV281" s="55"/>
      <c r="QW281" s="55"/>
      <c r="QX281" s="55"/>
      <c r="QY281" s="55"/>
      <c r="QZ281" s="55"/>
      <c r="RA281" s="55"/>
      <c r="RB281" s="55"/>
      <c r="RC281" s="55"/>
      <c r="RD281" s="55"/>
      <c r="RE281" s="55"/>
      <c r="RF281" s="55"/>
      <c r="RG281" s="55"/>
      <c r="RH281" s="55"/>
      <c r="RI281" s="55"/>
      <c r="RJ281" s="55"/>
      <c r="RK281" s="55"/>
      <c r="RL281" s="55"/>
      <c r="RM281" s="55"/>
      <c r="RN281" s="55"/>
      <c r="RO281" s="55"/>
      <c r="RP281" s="55"/>
      <c r="RQ281" s="55"/>
      <c r="RR281" s="55"/>
      <c r="RS281" s="55"/>
      <c r="RT281" s="55"/>
      <c r="RU281" s="55"/>
      <c r="RV281" s="55"/>
      <c r="RW281" s="55"/>
      <c r="RX281" s="55"/>
      <c r="RY281" s="55"/>
      <c r="RZ281" s="55"/>
      <c r="SA281" s="55"/>
      <c r="SB281" s="55"/>
      <c r="SC281" s="55"/>
      <c r="SD281" s="55"/>
      <c r="SE281" s="55"/>
      <c r="SF281" s="55"/>
      <c r="SG281" s="55"/>
      <c r="SH281" s="55"/>
      <c r="SI281" s="55"/>
      <c r="SJ281" s="55"/>
      <c r="SK281" s="55"/>
      <c r="SL281" s="55"/>
      <c r="SM281" s="55"/>
      <c r="SN281" s="55"/>
      <c r="SO281" s="55"/>
      <c r="SP281" s="55"/>
      <c r="SQ281" s="55"/>
      <c r="SR281" s="55"/>
      <c r="SS281" s="55"/>
      <c r="ST281" s="55"/>
      <c r="SU281" s="55"/>
      <c r="SV281" s="55"/>
      <c r="SW281" s="55"/>
      <c r="SX281" s="55"/>
      <c r="SY281" s="55"/>
      <c r="SZ281" s="55"/>
      <c r="TA281" s="55"/>
      <c r="TB281" s="55"/>
      <c r="TC281" s="55"/>
      <c r="TD281" s="55"/>
      <c r="TE281" s="55"/>
      <c r="TF281" s="55"/>
      <c r="TG281" s="55"/>
      <c r="TH281" s="55"/>
      <c r="TI281" s="55"/>
      <c r="TJ281" s="55"/>
      <c r="TK281" s="55"/>
      <c r="TL281" s="55"/>
      <c r="TM281" s="55"/>
      <c r="TN281" s="55"/>
      <c r="TO281" s="55"/>
      <c r="TP281" s="55"/>
      <c r="TQ281" s="55"/>
      <c r="TR281" s="55"/>
      <c r="TS281" s="55"/>
      <c r="TT281" s="55"/>
      <c r="TU281" s="55"/>
      <c r="TV281" s="55"/>
      <c r="TW281" s="55"/>
      <c r="TX281" s="55"/>
      <c r="TY281" s="55"/>
      <c r="TZ281" s="55"/>
      <c r="UA281" s="55"/>
      <c r="UB281" s="55"/>
      <c r="UC281" s="55"/>
      <c r="UD281" s="55"/>
      <c r="UE281" s="55"/>
      <c r="UF281" s="55"/>
      <c r="UG281" s="55"/>
      <c r="UH281" s="55"/>
      <c r="UI281" s="55"/>
      <c r="UJ281" s="55"/>
      <c r="UK281" s="55"/>
      <c r="UL281" s="55"/>
      <c r="UM281" s="55"/>
      <c r="UN281" s="55"/>
      <c r="UO281" s="55"/>
      <c r="UP281" s="55"/>
      <c r="UQ281" s="55"/>
      <c r="UR281" s="55"/>
      <c r="US281" s="55"/>
      <c r="UT281" s="55"/>
      <c r="UU281" s="55"/>
      <c r="UV281" s="55"/>
      <c r="UW281" s="55"/>
      <c r="UX281" s="55"/>
      <c r="UY281" s="55"/>
      <c r="UZ281" s="55"/>
      <c r="VA281" s="55"/>
      <c r="VB281" s="55"/>
      <c r="VC281" s="55"/>
      <c r="VD281" s="55"/>
      <c r="VE281" s="55"/>
      <c r="VF281" s="55"/>
      <c r="VG281" s="55"/>
      <c r="VH281" s="55"/>
      <c r="VI281" s="55"/>
      <c r="VJ281" s="55"/>
      <c r="VK281" s="55"/>
      <c r="VL281" s="55"/>
      <c r="VM281" s="55"/>
      <c r="VN281" s="55"/>
      <c r="VO281" s="55"/>
      <c r="VP281" s="55"/>
      <c r="VQ281" s="55"/>
      <c r="VR281" s="55"/>
      <c r="VS281" s="55"/>
      <c r="VT281" s="55"/>
      <c r="VU281" s="55"/>
      <c r="VV281" s="55"/>
      <c r="VW281" s="55"/>
      <c r="VX281" s="55"/>
      <c r="VY281" s="55"/>
      <c r="VZ281" s="55"/>
      <c r="WA281" s="55"/>
      <c r="WB281" s="55"/>
      <c r="WC281" s="55"/>
      <c r="WD281" s="55"/>
      <c r="WE281" s="55"/>
      <c r="WF281" s="55"/>
      <c r="WG281" s="55"/>
      <c r="WH281" s="55"/>
      <c r="WI281" s="55"/>
      <c r="WJ281" s="55"/>
      <c r="WK281" s="55"/>
      <c r="WL281" s="55"/>
      <c r="WM281" s="55"/>
      <c r="WN281" s="55"/>
      <c r="WO281" s="55"/>
      <c r="WP281" s="55"/>
      <c r="WQ281" s="55"/>
      <c r="WR281" s="55"/>
      <c r="WS281" s="55"/>
      <c r="WT281" s="55"/>
      <c r="WU281" s="55"/>
      <c r="WV281" s="55"/>
      <c r="WW281" s="55"/>
      <c r="WX281" s="55"/>
      <c r="WY281" s="55"/>
      <c r="WZ281" s="55"/>
      <c r="XA281" s="55"/>
      <c r="XB281" s="55"/>
      <c r="XC281" s="55"/>
      <c r="XD281" s="55"/>
      <c r="XE281" s="55"/>
      <c r="XF281" s="55"/>
      <c r="XG281" s="55"/>
      <c r="XH281" s="55"/>
      <c r="XI281" s="55"/>
      <c r="XJ281" s="55"/>
      <c r="XK281" s="55"/>
      <c r="XL281" s="55"/>
      <c r="XM281" s="55"/>
      <c r="XN281" s="55"/>
      <c r="XO281" s="55"/>
      <c r="XP281" s="55"/>
      <c r="XQ281" s="55"/>
      <c r="XR281" s="55"/>
      <c r="XS281" s="55"/>
      <c r="XT281" s="55"/>
      <c r="XU281" s="55"/>
      <c r="XV281" s="55"/>
      <c r="XW281" s="55"/>
      <c r="XX281" s="55"/>
      <c r="XY281" s="55"/>
      <c r="XZ281" s="55"/>
      <c r="YA281" s="55"/>
      <c r="YB281" s="55"/>
      <c r="YC281" s="55"/>
      <c r="YD281" s="55"/>
      <c r="YE281" s="55"/>
      <c r="YF281" s="55"/>
      <c r="YG281" s="55"/>
      <c r="YH281" s="55"/>
      <c r="YI281" s="55"/>
      <c r="YJ281" s="55"/>
      <c r="YK281" s="55"/>
      <c r="YL281" s="55"/>
      <c r="YM281" s="55"/>
      <c r="YN281" s="55"/>
      <c r="YO281" s="55"/>
      <c r="YP281" s="55"/>
      <c r="YQ281" s="55"/>
      <c r="YR281" s="55"/>
      <c r="YS281" s="55"/>
      <c r="YT281" s="55"/>
      <c r="YU281" s="55"/>
      <c r="YV281" s="55"/>
      <c r="YW281" s="55"/>
      <c r="YX281" s="55"/>
      <c r="YY281" s="55"/>
      <c r="YZ281" s="55"/>
      <c r="ZA281" s="55"/>
      <c r="ZB281" s="55"/>
      <c r="ZC281" s="55"/>
      <c r="ZD281" s="55"/>
      <c r="ZE281" s="55"/>
      <c r="ZF281" s="55"/>
      <c r="ZG281" s="55"/>
      <c r="ZH281" s="55"/>
      <c r="ZI281" s="55"/>
      <c r="ZJ281" s="55"/>
      <c r="ZK281" s="55"/>
      <c r="ZL281" s="55"/>
      <c r="ZM281" s="55"/>
      <c r="ZN281" s="55"/>
      <c r="ZO281" s="55"/>
      <c r="ZP281" s="55"/>
      <c r="ZQ281" s="55"/>
      <c r="ZR281" s="55"/>
      <c r="ZS281" s="55"/>
      <c r="ZT281" s="55"/>
      <c r="ZU281" s="55"/>
      <c r="ZV281" s="55"/>
      <c r="ZW281" s="55"/>
      <c r="ZX281" s="55"/>
      <c r="ZY281" s="55"/>
      <c r="ZZ281" s="55"/>
      <c r="AAA281" s="55"/>
      <c r="AAB281" s="55"/>
      <c r="AAC281" s="55"/>
      <c r="AAD281" s="55"/>
      <c r="AAE281" s="55"/>
      <c r="AAF281" s="55"/>
      <c r="AAG281" s="55"/>
      <c r="AAH281" s="55"/>
      <c r="AAI281" s="55"/>
      <c r="AAJ281" s="55"/>
      <c r="AAK281" s="55"/>
      <c r="AAL281" s="55"/>
      <c r="AAM281" s="55"/>
      <c r="AAN281" s="55"/>
      <c r="AAO281" s="55"/>
      <c r="AAP281" s="55"/>
      <c r="AAQ281" s="55"/>
      <c r="AAR281" s="55"/>
      <c r="AAS281" s="55"/>
      <c r="AAT281" s="55"/>
      <c r="AAU281" s="55"/>
      <c r="AAV281" s="55"/>
      <c r="AAW281" s="55"/>
      <c r="AAX281" s="55"/>
      <c r="AAY281" s="55"/>
      <c r="AAZ281" s="55"/>
      <c r="ABA281" s="55"/>
      <c r="ABB281" s="55"/>
      <c r="ABC281" s="55"/>
      <c r="ABD281" s="55"/>
      <c r="ABE281" s="55"/>
      <c r="ABF281" s="55"/>
      <c r="ABG281" s="55"/>
      <c r="ABH281" s="55"/>
      <c r="ABI281" s="55"/>
      <c r="ABJ281" s="55"/>
      <c r="ABK281" s="55"/>
      <c r="ABL281" s="55"/>
      <c r="ABM281" s="55"/>
      <c r="ABN281" s="55"/>
      <c r="ABO281" s="55"/>
      <c r="ABP281" s="55"/>
      <c r="ABQ281" s="55"/>
      <c r="ABR281" s="55"/>
      <c r="ABS281" s="55"/>
      <c r="ABT281" s="55"/>
      <c r="ABU281" s="55"/>
      <c r="ABV281" s="55"/>
      <c r="ABW281" s="55"/>
      <c r="ABX281" s="55"/>
      <c r="ABY281" s="55"/>
      <c r="ABZ281" s="55"/>
      <c r="ACA281" s="55"/>
      <c r="ACB281" s="55"/>
      <c r="ACC281" s="55"/>
      <c r="ACD281" s="55"/>
      <c r="ACE281" s="55"/>
      <c r="ACF281" s="55"/>
      <c r="ACG281" s="55"/>
      <c r="ACH281" s="55"/>
      <c r="ACI281" s="55"/>
      <c r="ACJ281" s="55"/>
      <c r="ACK281" s="55"/>
      <c r="ACL281" s="55"/>
      <c r="ACM281" s="55"/>
      <c r="ACN281" s="55"/>
      <c r="ACO281" s="55"/>
      <c r="ACP281" s="55"/>
      <c r="ACQ281" s="55"/>
      <c r="ACR281" s="55"/>
      <c r="ACS281" s="55"/>
      <c r="ACT281" s="55"/>
      <c r="ACU281" s="55"/>
      <c r="ACV281" s="55"/>
      <c r="ACW281" s="55"/>
      <c r="ACX281" s="55"/>
      <c r="ACY281" s="55"/>
      <c r="ACZ281" s="55"/>
      <c r="ADA281" s="55"/>
      <c r="ADB281" s="55"/>
      <c r="ADC281" s="55"/>
      <c r="ADD281" s="55"/>
      <c r="ADE281" s="55"/>
      <c r="ADF281" s="55"/>
      <c r="ADG281" s="55"/>
      <c r="ADH281" s="55"/>
      <c r="ADI281" s="55"/>
      <c r="ADJ281" s="55"/>
      <c r="ADK281" s="55"/>
      <c r="ADL281" s="55"/>
      <c r="ADM281" s="55"/>
      <c r="ADN281" s="55"/>
      <c r="ADO281" s="55"/>
      <c r="ADP281" s="55"/>
      <c r="ADQ281" s="55"/>
      <c r="ADR281" s="55"/>
      <c r="ADS281" s="55"/>
      <c r="ADT281" s="55"/>
      <c r="ADU281" s="55"/>
      <c r="ADV281" s="55"/>
      <c r="ADW281" s="55"/>
      <c r="ADX281" s="55"/>
      <c r="ADY281" s="55"/>
      <c r="ADZ281" s="55"/>
      <c r="AEA281" s="55"/>
      <c r="AEB281" s="55"/>
      <c r="AEC281" s="55"/>
      <c r="AED281" s="55"/>
      <c r="AEE281" s="55"/>
      <c r="AEF281" s="55"/>
      <c r="AEG281" s="55"/>
      <c r="AEH281" s="55"/>
      <c r="AEI281" s="55"/>
      <c r="AEJ281" s="55"/>
      <c r="AEK281" s="55"/>
      <c r="AEL281" s="55"/>
      <c r="AEM281" s="55"/>
      <c r="AEN281" s="55"/>
      <c r="AEO281" s="55"/>
      <c r="AEP281" s="55"/>
      <c r="AEQ281" s="55"/>
      <c r="AER281" s="55"/>
      <c r="AES281" s="55"/>
      <c r="AET281" s="55"/>
      <c r="AEU281" s="55"/>
      <c r="AEV281" s="55"/>
      <c r="AEW281" s="55"/>
      <c r="AEX281" s="55"/>
      <c r="AEY281" s="55"/>
      <c r="AEZ281" s="55"/>
      <c r="AFA281" s="55"/>
      <c r="AFB281" s="55"/>
      <c r="AFC281" s="55"/>
      <c r="AFD281" s="55"/>
      <c r="AFE281" s="55"/>
      <c r="AFF281" s="55"/>
      <c r="AFG281" s="55"/>
      <c r="AFH281" s="55"/>
      <c r="AFI281" s="55"/>
      <c r="AFJ281" s="55"/>
      <c r="AFK281" s="55"/>
      <c r="AFL281" s="55"/>
      <c r="AFM281" s="55"/>
      <c r="AFN281" s="55"/>
      <c r="AFO281" s="55"/>
      <c r="AFP281" s="55"/>
      <c r="AFQ281" s="55"/>
      <c r="AFR281" s="55"/>
      <c r="AFS281" s="55"/>
      <c r="AFT281" s="55"/>
      <c r="AFU281" s="55"/>
      <c r="AFV281" s="55"/>
      <c r="AFW281" s="55"/>
      <c r="AFX281" s="55"/>
      <c r="AFY281" s="55"/>
      <c r="AFZ281" s="55"/>
      <c r="AGA281" s="55"/>
      <c r="AGB281" s="55"/>
      <c r="AGC281" s="55"/>
      <c r="AGD281" s="55"/>
      <c r="AGE281" s="55"/>
      <c r="AGF281" s="55"/>
      <c r="AGG281" s="55"/>
      <c r="AGH281" s="55"/>
      <c r="AGI281" s="55"/>
      <c r="AGJ281" s="55"/>
      <c r="AGK281" s="55"/>
      <c r="AGL281" s="55"/>
      <c r="AGM281" s="55"/>
      <c r="AGN281" s="55"/>
      <c r="AGO281" s="55"/>
      <c r="AGP281" s="55"/>
      <c r="AGQ281" s="55"/>
      <c r="AGR281" s="55"/>
      <c r="AGS281" s="55"/>
      <c r="AGT281" s="55"/>
      <c r="AGU281" s="55"/>
      <c r="AGV281" s="55"/>
      <c r="AGW281" s="55"/>
      <c r="AGX281" s="55"/>
      <c r="AGY281" s="55"/>
      <c r="AGZ281" s="55"/>
      <c r="AHA281" s="55"/>
      <c r="AHB281" s="55"/>
      <c r="AHC281" s="55"/>
      <c r="AHD281" s="55"/>
      <c r="AHE281" s="55"/>
      <c r="AHF281" s="55"/>
      <c r="AHG281" s="55"/>
      <c r="AHH281" s="55"/>
      <c r="AHI281" s="55"/>
      <c r="AHJ281" s="55"/>
      <c r="AHK281" s="55"/>
      <c r="AHL281" s="55"/>
      <c r="AHM281" s="55"/>
      <c r="AHN281" s="55"/>
      <c r="AHO281" s="55"/>
      <c r="AHP281" s="55"/>
      <c r="AHQ281" s="55"/>
      <c r="AHR281" s="55"/>
      <c r="AHS281" s="55"/>
      <c r="AHT281" s="55"/>
      <c r="AHU281" s="55"/>
      <c r="AHV281" s="55"/>
      <c r="AHW281" s="55"/>
      <c r="AHX281" s="55"/>
      <c r="AHY281" s="55"/>
      <c r="AHZ281" s="55"/>
      <c r="AIA281" s="55"/>
      <c r="AIB281" s="55"/>
      <c r="AIC281" s="55"/>
      <c r="AID281" s="55"/>
      <c r="AIE281" s="55"/>
      <c r="AIF281" s="55"/>
      <c r="AIG281" s="55"/>
      <c r="AIH281" s="55"/>
      <c r="AII281" s="55"/>
      <c r="AIJ281" s="55"/>
      <c r="AIK281" s="55"/>
      <c r="AIL281" s="55"/>
      <c r="AIM281" s="55"/>
      <c r="AIN281" s="55"/>
      <c r="AIO281" s="55"/>
      <c r="AIP281" s="55"/>
      <c r="AIQ281" s="55"/>
      <c r="AIR281" s="55"/>
      <c r="AIS281" s="55"/>
      <c r="AIT281" s="55"/>
      <c r="AIU281" s="55"/>
      <c r="AIV281" s="55"/>
      <c r="AIW281" s="55"/>
      <c r="AIX281" s="55"/>
      <c r="AIY281" s="55"/>
      <c r="AIZ281" s="55"/>
      <c r="AJA281" s="55"/>
      <c r="AJB281" s="55"/>
      <c r="AJC281" s="55"/>
      <c r="AJD281" s="55"/>
      <c r="AJE281" s="55"/>
      <c r="AJF281" s="55"/>
      <c r="AJG281" s="55"/>
      <c r="AJH281" s="55"/>
      <c r="AJI281" s="55"/>
      <c r="AJJ281" s="55"/>
      <c r="AJK281" s="55"/>
      <c r="AJL281" s="55"/>
      <c r="AJM281" s="55"/>
      <c r="AJN281" s="55"/>
      <c r="AJO281" s="55"/>
      <c r="AJP281" s="55"/>
      <c r="AJQ281" s="55"/>
      <c r="AJR281" s="55"/>
      <c r="AJS281" s="55"/>
      <c r="AJT281" s="55"/>
      <c r="AJU281" s="55"/>
      <c r="AJV281" s="55"/>
      <c r="AJW281" s="55"/>
      <c r="AJX281" s="55"/>
      <c r="AJY281" s="55"/>
      <c r="AJZ281" s="55"/>
      <c r="AKA281" s="55"/>
      <c r="AKB281" s="55"/>
      <c r="AKC281" s="55"/>
      <c r="AKD281" s="55"/>
      <c r="AKE281" s="55"/>
      <c r="AKF281" s="55"/>
      <c r="AKG281" s="55"/>
      <c r="AKH281" s="55"/>
      <c r="AKI281" s="55"/>
      <c r="AKJ281" s="55"/>
      <c r="AKK281" s="55"/>
      <c r="AKL281" s="55"/>
      <c r="AKM281" s="55"/>
      <c r="AKN281" s="55"/>
      <c r="AKO281" s="55"/>
      <c r="AKP281" s="55"/>
      <c r="AKQ281" s="55"/>
      <c r="AKR281" s="55"/>
      <c r="AKS281" s="55"/>
      <c r="AKT281" s="55"/>
      <c r="AKU281" s="55"/>
      <c r="AKV281" s="55"/>
      <c r="AKW281" s="55"/>
      <c r="AKX281" s="55"/>
      <c r="AKY281" s="55"/>
      <c r="AKZ281" s="55"/>
      <c r="ALA281" s="55"/>
      <c r="ALB281" s="55"/>
      <c r="ALC281" s="55"/>
      <c r="ALD281" s="55"/>
      <c r="ALE281" s="55"/>
      <c r="ALF281" s="55"/>
      <c r="ALG281" s="55"/>
      <c r="ALH281" s="55"/>
      <c r="ALI281" s="55"/>
      <c r="ALJ281" s="55"/>
      <c r="ALK281" s="55"/>
      <c r="ALL281" s="55"/>
      <c r="ALM281" s="55"/>
      <c r="ALN281" s="55"/>
      <c r="ALO281" s="55"/>
      <c r="ALP281" s="55"/>
      <c r="ALQ281" s="55"/>
      <c r="ALR281" s="55"/>
      <c r="ALS281" s="55"/>
      <c r="ALT281" s="55"/>
      <c r="ALU281" s="55"/>
      <c r="ALV281" s="55"/>
      <c r="ALW281" s="55"/>
      <c r="ALX281" s="55"/>
      <c r="ALY281" s="55"/>
      <c r="ALZ281" s="55"/>
    </row>
  </sheetData>
  <sheetProtection sheet="1" objects="1" scenarios="1"/>
  <dataConsolidate/>
  <mergeCells count="272">
    <mergeCell ref="H35:I35"/>
    <mergeCell ref="D35:E35"/>
    <mergeCell ref="F35:G35"/>
    <mergeCell ref="L35:M35"/>
    <mergeCell ref="J35:K35"/>
    <mergeCell ref="D28:E29"/>
    <mergeCell ref="F28:G29"/>
    <mergeCell ref="H28:I29"/>
    <mergeCell ref="J28:K29"/>
    <mergeCell ref="L28:M29"/>
    <mergeCell ref="D33:E33"/>
    <mergeCell ref="F33:G33"/>
    <mergeCell ref="H33:I33"/>
    <mergeCell ref="J32:K32"/>
    <mergeCell ref="L32:M32"/>
    <mergeCell ref="J30:K30"/>
    <mergeCell ref="H30:I30"/>
    <mergeCell ref="F30:G30"/>
    <mergeCell ref="D30:E30"/>
    <mergeCell ref="F31:G31"/>
    <mergeCell ref="H31:I31"/>
    <mergeCell ref="J31:K31"/>
    <mergeCell ref="L31:M31"/>
    <mergeCell ref="D32:E32"/>
    <mergeCell ref="F32:G32"/>
    <mergeCell ref="H32:I32"/>
    <mergeCell ref="O20:Q20"/>
    <mergeCell ref="E278:F278"/>
    <mergeCell ref="E279:F279"/>
    <mergeCell ref="E280:F280"/>
    <mergeCell ref="E281:F281"/>
    <mergeCell ref="E273:F273"/>
    <mergeCell ref="E274:F274"/>
    <mergeCell ref="E275:F275"/>
    <mergeCell ref="E276:F276"/>
    <mergeCell ref="E277:F277"/>
    <mergeCell ref="E268:F268"/>
    <mergeCell ref="E269:F269"/>
    <mergeCell ref="E270:F270"/>
    <mergeCell ref="E271:F271"/>
    <mergeCell ref="E272:F272"/>
    <mergeCell ref="E263:F263"/>
    <mergeCell ref="E264:F264"/>
    <mergeCell ref="E265:F265"/>
    <mergeCell ref="E266:F266"/>
    <mergeCell ref="E267:F267"/>
    <mergeCell ref="E258:F258"/>
    <mergeCell ref="E259:F259"/>
    <mergeCell ref="E260:F260"/>
    <mergeCell ref="E261:F261"/>
    <mergeCell ref="E262:F262"/>
    <mergeCell ref="E253:F253"/>
    <mergeCell ref="E254:F254"/>
    <mergeCell ref="E255:F255"/>
    <mergeCell ref="E256:F256"/>
    <mergeCell ref="E257:F257"/>
    <mergeCell ref="E248:F248"/>
    <mergeCell ref="E249:F249"/>
    <mergeCell ref="E250:F250"/>
    <mergeCell ref="E251:F251"/>
    <mergeCell ref="E252:F252"/>
    <mergeCell ref="E243:F243"/>
    <mergeCell ref="E244:F244"/>
    <mergeCell ref="E245:F245"/>
    <mergeCell ref="E246:F246"/>
    <mergeCell ref="E247:F247"/>
    <mergeCell ref="E238:F238"/>
    <mergeCell ref="E239:F239"/>
    <mergeCell ref="E240:F240"/>
    <mergeCell ref="E241:F241"/>
    <mergeCell ref="E242:F242"/>
    <mergeCell ref="E233:F233"/>
    <mergeCell ref="E234:F234"/>
    <mergeCell ref="E235:F235"/>
    <mergeCell ref="E236:F236"/>
    <mergeCell ref="E237:F237"/>
    <mergeCell ref="E228:F228"/>
    <mergeCell ref="E229:F229"/>
    <mergeCell ref="E230:F230"/>
    <mergeCell ref="E231:F231"/>
    <mergeCell ref="E232:F232"/>
    <mergeCell ref="E223:F223"/>
    <mergeCell ref="E224:F224"/>
    <mergeCell ref="E225:F225"/>
    <mergeCell ref="E226:F226"/>
    <mergeCell ref="E227:F227"/>
    <mergeCell ref="E218:F218"/>
    <mergeCell ref="E219:F219"/>
    <mergeCell ref="E220:F220"/>
    <mergeCell ref="E221:F221"/>
    <mergeCell ref="E222:F222"/>
    <mergeCell ref="E213:F213"/>
    <mergeCell ref="E214:F214"/>
    <mergeCell ref="E215:F215"/>
    <mergeCell ref="E216:F216"/>
    <mergeCell ref="E217:F217"/>
    <mergeCell ref="E208:F208"/>
    <mergeCell ref="E209:F209"/>
    <mergeCell ref="E210:F210"/>
    <mergeCell ref="E211:F211"/>
    <mergeCell ref="E212:F212"/>
    <mergeCell ref="E203:F203"/>
    <mergeCell ref="E204:F204"/>
    <mergeCell ref="E205:F205"/>
    <mergeCell ref="E206:F206"/>
    <mergeCell ref="E207:F207"/>
    <mergeCell ref="E198:F198"/>
    <mergeCell ref="E199:F199"/>
    <mergeCell ref="E200:F200"/>
    <mergeCell ref="E201:F201"/>
    <mergeCell ref="E202:F202"/>
    <mergeCell ref="E193:F193"/>
    <mergeCell ref="E194:F194"/>
    <mergeCell ref="E195:F195"/>
    <mergeCell ref="E196:F196"/>
    <mergeCell ref="E197:F197"/>
    <mergeCell ref="E188:F188"/>
    <mergeCell ref="E189:F189"/>
    <mergeCell ref="E190:F190"/>
    <mergeCell ref="E191:F191"/>
    <mergeCell ref="E192:F192"/>
    <mergeCell ref="E183:F183"/>
    <mergeCell ref="E184:F184"/>
    <mergeCell ref="E185:F185"/>
    <mergeCell ref="E186:F186"/>
    <mergeCell ref="E187:F187"/>
    <mergeCell ref="E178:F178"/>
    <mergeCell ref="E179:F179"/>
    <mergeCell ref="E180:F180"/>
    <mergeCell ref="E181:F181"/>
    <mergeCell ref="E182:F182"/>
    <mergeCell ref="E173:F173"/>
    <mergeCell ref="E174:F174"/>
    <mergeCell ref="E175:F175"/>
    <mergeCell ref="E176:F176"/>
    <mergeCell ref="E177:F177"/>
    <mergeCell ref="E168:F168"/>
    <mergeCell ref="E169:F169"/>
    <mergeCell ref="E170:F170"/>
    <mergeCell ref="E171:F171"/>
    <mergeCell ref="E172:F172"/>
    <mergeCell ref="E163:F163"/>
    <mergeCell ref="E164:F164"/>
    <mergeCell ref="E165:F165"/>
    <mergeCell ref="E166:F166"/>
    <mergeCell ref="E167:F167"/>
    <mergeCell ref="E158:F158"/>
    <mergeCell ref="E159:F159"/>
    <mergeCell ref="E160:F160"/>
    <mergeCell ref="E161:F161"/>
    <mergeCell ref="E162:F162"/>
    <mergeCell ref="E153:F153"/>
    <mergeCell ref="E154:F154"/>
    <mergeCell ref="E155:F155"/>
    <mergeCell ref="E156:F156"/>
    <mergeCell ref="E157:F157"/>
    <mergeCell ref="E148:F148"/>
    <mergeCell ref="E149:F149"/>
    <mergeCell ref="E150:F150"/>
    <mergeCell ref="E151:F151"/>
    <mergeCell ref="E152:F152"/>
    <mergeCell ref="E143:F143"/>
    <mergeCell ref="E144:F144"/>
    <mergeCell ref="E145:F145"/>
    <mergeCell ref="E146:F146"/>
    <mergeCell ref="E147:F147"/>
    <mergeCell ref="E138:F138"/>
    <mergeCell ref="E139:F139"/>
    <mergeCell ref="E140:F140"/>
    <mergeCell ref="E141:F141"/>
    <mergeCell ref="E142:F142"/>
    <mergeCell ref="E133:F133"/>
    <mergeCell ref="E134:F134"/>
    <mergeCell ref="E135:F135"/>
    <mergeCell ref="E136:F136"/>
    <mergeCell ref="E137:F137"/>
    <mergeCell ref="E128:F128"/>
    <mergeCell ref="E129:F129"/>
    <mergeCell ref="E130:F130"/>
    <mergeCell ref="E131:F131"/>
    <mergeCell ref="E132:F132"/>
    <mergeCell ref="E123:F123"/>
    <mergeCell ref="E124:F124"/>
    <mergeCell ref="E125:F125"/>
    <mergeCell ref="E126:F126"/>
    <mergeCell ref="E127:F127"/>
    <mergeCell ref="E118:F118"/>
    <mergeCell ref="E119:F119"/>
    <mergeCell ref="E120:F120"/>
    <mergeCell ref="E121:F121"/>
    <mergeCell ref="E122:F122"/>
    <mergeCell ref="E113:F113"/>
    <mergeCell ref="E114:F114"/>
    <mergeCell ref="E115:F115"/>
    <mergeCell ref="E116:F116"/>
    <mergeCell ref="E117:F117"/>
    <mergeCell ref="E108:F108"/>
    <mergeCell ref="E109:F109"/>
    <mergeCell ref="E110:F110"/>
    <mergeCell ref="E111:F111"/>
    <mergeCell ref="E112:F112"/>
    <mergeCell ref="E103:F103"/>
    <mergeCell ref="E104:F104"/>
    <mergeCell ref="E105:F105"/>
    <mergeCell ref="E106:F106"/>
    <mergeCell ref="E107:F107"/>
    <mergeCell ref="E98:F98"/>
    <mergeCell ref="E99:F99"/>
    <mergeCell ref="E100:F100"/>
    <mergeCell ref="E101:F101"/>
    <mergeCell ref="E102:F102"/>
    <mergeCell ref="E94:F94"/>
    <mergeCell ref="E95:F95"/>
    <mergeCell ref="E96:F96"/>
    <mergeCell ref="E97:F97"/>
    <mergeCell ref="E88:F88"/>
    <mergeCell ref="E89:F89"/>
    <mergeCell ref="E90:F90"/>
    <mergeCell ref="E91:F91"/>
    <mergeCell ref="E92:F92"/>
    <mergeCell ref="E85:F85"/>
    <mergeCell ref="E86:F86"/>
    <mergeCell ref="E87:F87"/>
    <mergeCell ref="E78:F78"/>
    <mergeCell ref="E79:F79"/>
    <mergeCell ref="E80:F80"/>
    <mergeCell ref="E81:F81"/>
    <mergeCell ref="E82:F82"/>
    <mergeCell ref="E93:F93"/>
    <mergeCell ref="E73:F73"/>
    <mergeCell ref="E74:F74"/>
    <mergeCell ref="E75:F75"/>
    <mergeCell ref="E76:F76"/>
    <mergeCell ref="E77:F77"/>
    <mergeCell ref="E63:F63"/>
    <mergeCell ref="E62:F62"/>
    <mergeCell ref="E83:F83"/>
    <mergeCell ref="E84:F84"/>
    <mergeCell ref="D37:M42"/>
    <mergeCell ref="D31:E31"/>
    <mergeCell ref="D3:M10"/>
    <mergeCell ref="E68:F68"/>
    <mergeCell ref="E69:F69"/>
    <mergeCell ref="E70:F70"/>
    <mergeCell ref="E71:F71"/>
    <mergeCell ref="E72:F72"/>
    <mergeCell ref="E64:F64"/>
    <mergeCell ref="E65:F65"/>
    <mergeCell ref="E66:F66"/>
    <mergeCell ref="E67:F67"/>
    <mergeCell ref="G20:M20"/>
    <mergeCell ref="J33:K33"/>
    <mergeCell ref="L33:M33"/>
    <mergeCell ref="D34:E34"/>
    <mergeCell ref="F34:G34"/>
    <mergeCell ref="H34:I34"/>
    <mergeCell ref="J34:K34"/>
    <mergeCell ref="L34:M34"/>
    <mergeCell ref="D25:F25"/>
    <mergeCell ref="G25:J25"/>
    <mergeCell ref="K25:M25"/>
    <mergeCell ref="L30:M30"/>
    <mergeCell ref="C1:N1"/>
    <mergeCell ref="D20:F20"/>
    <mergeCell ref="K22:M22"/>
    <mergeCell ref="K23:M23"/>
    <mergeCell ref="D22:J22"/>
    <mergeCell ref="D23:J23"/>
    <mergeCell ref="D26:F26"/>
    <mergeCell ref="K26:M26"/>
    <mergeCell ref="G26:J26"/>
    <mergeCell ref="G12:M18"/>
  </mergeCells>
  <conditionalFormatting sqref="D43:D281 D35:D36">
    <cfRule type="expression" dxfId="13" priority="45">
      <formula>$E34&lt;&gt;""</formula>
    </cfRule>
  </conditionalFormatting>
  <conditionalFormatting sqref="E36 D31:M32 F35:M35 E43:L281 F35:L36 F28 H28 J28 L28">
    <cfRule type="expression" dxfId="12" priority="3">
      <formula>$E27&lt;&gt;""</formula>
    </cfRule>
  </conditionalFormatting>
  <conditionalFormatting sqref="M35:M36 M43:M281">
    <cfRule type="expression" dxfId="11" priority="1596">
      <formula>AND($E34&lt;&gt;"",$K$23="Grup empresarial")</formula>
    </cfRule>
  </conditionalFormatting>
  <conditionalFormatting sqref="O20:Q20">
    <cfRule type="expression" dxfId="10" priority="5">
      <formula>K23&lt;&gt;"Grup empresarial"</formula>
    </cfRule>
  </conditionalFormatting>
  <conditionalFormatting sqref="O22:Q22">
    <cfRule type="expression" dxfId="9" priority="8">
      <formula>$K$23="Grup empresarial"</formula>
    </cfRule>
  </conditionalFormatting>
  <conditionalFormatting sqref="O23:Q29 O31:Q32">
    <cfRule type="expression" dxfId="8" priority="1608">
      <formula>AND($O22&lt;&gt;"",$K$23="Grup empresarial")</formula>
    </cfRule>
  </conditionalFormatting>
  <conditionalFormatting sqref="D34">
    <cfRule type="expression" dxfId="7" priority="1609">
      <formula>#REF!&lt;&gt;""</formula>
    </cfRule>
  </conditionalFormatting>
  <conditionalFormatting sqref="F34 H34:L34">
    <cfRule type="expression" dxfId="6" priority="1611">
      <formula>#REF!&lt;&gt;""</formula>
    </cfRule>
  </conditionalFormatting>
  <conditionalFormatting sqref="D37">
    <cfRule type="expression" dxfId="5" priority="1613">
      <formula>$E35&lt;&gt;""</formula>
    </cfRule>
  </conditionalFormatting>
  <conditionalFormatting sqref="O30:Q30">
    <cfRule type="expression" dxfId="4" priority="1617">
      <formula>AND($O28&lt;&gt;"",$K$23="Grup empresarial")</formula>
    </cfRule>
  </conditionalFormatting>
  <conditionalFormatting sqref="E43:T61">
    <cfRule type="expression" dxfId="3" priority="1">
      <formula>$E42&lt;&gt;""</formula>
    </cfRule>
  </conditionalFormatting>
  <dataValidations count="9">
    <dataValidation operator="equal" allowBlank="1" showInputMessage="1" showErrorMessage="1" sqref="K282:K465"/>
    <dataValidation operator="greaterThan" allowBlank="1" showInputMessage="1" error="Aquesta dada ha de ser un valor numèric" sqref="J35:J36 J43:J281 H35:I35"/>
    <dataValidation type="list" operator="greaterThan" allowBlank="1" showInputMessage="1" error="Aquesta dada ha de ser un valor numèric" sqref="H43:H281 H36">
      <formula1>Illes</formula1>
    </dataValidation>
    <dataValidation type="list" allowBlank="1" showInputMessage="1" showErrorMessage="1" sqref="Q23:Q32">
      <formula1>$F$737:$F$739</formula1>
    </dataValidation>
    <dataValidation type="list" allowBlank="1" showInputMessage="1" showErrorMessage="1" sqref="G35:G36 G43:G281">
      <formula1>SiNo</formula1>
    </dataValidation>
    <dataValidation type="decimal" allowBlank="1" showInputMessage="1" showErrorMessage="1" error="El valor ha d'estar entre 38 i 41" sqref="K35:K36 K43:K281">
      <formula1>38</formula1>
      <formula2>41</formula2>
    </dataValidation>
    <dataValidation type="decimal" allowBlank="1" showInputMessage="1" showErrorMessage="1" error="El valor ha d'estar entre 1 i 5" sqref="L43:L281 L36">
      <formula1>1</formula1>
      <formula2>5</formula2>
    </dataValidation>
    <dataValidation type="list" allowBlank="1" showInputMessage="1" showErrorMessage="1" sqref="M43:M281 M36">
      <formula1>Empresas</formula1>
    </dataValidation>
    <dataValidation type="list" allowBlank="1" showInputMessage="1" showErrorMessage="1" sqref="P26">
      <formula1>Año</formula1>
    </dataValidation>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0833333333333304" right="0.70833333333333304" top="0.74791666666666701" bottom="0.74791666666666701" header="0.51180555555555496" footer="0.51180555555555496"/>
  <pageSetup paperSize="9" scale="10" firstPageNumber="0" orientation="landscape" horizontalDpi="300" verticalDpi="300" r:id="rId1"/>
  <drawing r:id="rId2"/>
  <extLst xmlns:xr="http://schemas.microsoft.com/office/spreadsheetml/2014/revision">
    <ext xmlns:x14="http://schemas.microsoft.com/office/spreadsheetml/2009/9/main" uri="{CCE6A557-97BC-4b89-ADB6-D9C93CAAB3DF}">
      <x14:dataValidations xmlns:xm="http://schemas.microsoft.com/office/excel/2006/main" count="2">
        <x14:dataValidation type="list" operator="greaterThan" allowBlank="1" showInputMessage="1" xr:uid="{00000000-0002-0000-0100-000011000000}">
          <x14:formula1>
            <xm:f>INDIRECT("Illa_"&amp;(IFERROR(VLOOKUP(#REF!,#REF!,2,0),"")))</xm:f>
          </x14:formula1>
          <xm:sqref>#REF!</xm:sqref>
        </x14:dataValidation>
        <x14:dataValidation type="list" operator="greaterThan" allowBlank="1" showInputMessage="1" error="Aquesta dada ha de ser un valor numèric" xr:uid="{00000000-0002-0000-0100-000012000000}">
          <x14:formula1>
            <xm:f>INDIRECT("Illa_"&amp;(IFERROR(VLOOKUP(#REF!,#REF!,2,0),"")))</xm:f>
          </x14:formula1>
          <xm:sqref>I34:I281</xm:sqref>
        </x14:dataValidation>
      </x14:dataValidations>
    </ext>
  </extLst>
</worksheet>
</file>

<file path=xl/worksheets/sheet3.xml><?xml version="1.0" encoding="utf-8"?>
<worksheet xmlns="http://schemas.openxmlformats.org/spreadsheetml/2006/main" xmlns:r="http://schemas.openxmlformats.org/officeDocument/2006/relationships">
  <sheetPr codeName="Hoja3">
    <pageSetUpPr fitToPage="1"/>
  </sheetPr>
  <dimension ref="A1:ALR269"/>
  <sheetViews>
    <sheetView zoomScaleNormal="100" workbookViewId="0">
      <pane xSplit="1" topLeftCell="B1" activePane="topRight" state="frozen"/>
      <selection pane="topRight" activeCell="E7" sqref="E7"/>
    </sheetView>
  </sheetViews>
  <sheetFormatPr baseColWidth="10" defaultColWidth="9.140625" defaultRowHeight="15"/>
  <cols>
    <col min="1" max="1" width="55.7109375" style="45" customWidth="1"/>
    <col min="2" max="2" width="2.140625" style="45" customWidth="1"/>
    <col min="3" max="3" width="2.42578125" style="45" customWidth="1"/>
    <col min="4" max="4" width="26.5703125" style="45" customWidth="1"/>
    <col min="5" max="5" width="38.7109375" style="45" customWidth="1"/>
    <col min="6" max="6" width="17.5703125" style="45" customWidth="1"/>
    <col min="7" max="7" width="16.42578125" style="45" customWidth="1"/>
    <col min="8" max="8" width="21.42578125" style="45" customWidth="1"/>
    <col min="9" max="9" width="26.140625" style="45" customWidth="1"/>
    <col min="10" max="10" width="21.140625" style="45" customWidth="1"/>
    <col min="11" max="11" width="26" style="45" customWidth="1"/>
    <col min="12" max="12" width="3.5703125" style="45" customWidth="1"/>
    <col min="13" max="13" width="15.5703125" style="45" customWidth="1"/>
    <col min="14" max="14" width="1.140625" style="45" customWidth="1"/>
    <col min="15" max="15" width="31.7109375" style="45" customWidth="1"/>
    <col min="16" max="1006" width="9.140625" style="45"/>
    <col min="1007" max="16384" width="9.140625" style="46"/>
  </cols>
  <sheetData>
    <row r="1" spans="1:15" ht="40.700000000000003" customHeight="1">
      <c r="B1" s="3"/>
      <c r="C1" s="333" t="s">
        <v>112</v>
      </c>
      <c r="D1" s="334"/>
      <c r="E1" s="334"/>
      <c r="F1" s="334"/>
      <c r="G1" s="334"/>
      <c r="H1" s="334"/>
      <c r="I1" s="334"/>
      <c r="J1" s="334"/>
      <c r="K1" s="334"/>
      <c r="L1" s="334"/>
    </row>
    <row r="2" spans="1:15" ht="24" customHeight="1">
      <c r="B2" s="3"/>
      <c r="H2" s="47"/>
      <c r="I2" s="47"/>
      <c r="J2" s="47"/>
      <c r="K2" s="47"/>
    </row>
    <row r="3" spans="1:15" s="45" customFormat="1" ht="16.5">
      <c r="A3" s="25"/>
      <c r="C3" s="48"/>
      <c r="D3" s="341" t="s">
        <v>210</v>
      </c>
      <c r="E3" s="341"/>
      <c r="F3" s="341"/>
      <c r="G3" s="341"/>
      <c r="H3" s="341"/>
      <c r="I3" s="341"/>
      <c r="J3" s="341"/>
      <c r="K3" s="341"/>
      <c r="M3" s="337"/>
      <c r="N3" s="337"/>
      <c r="O3" s="337"/>
    </row>
    <row r="4" spans="1:15" s="45" customFormat="1" ht="21" customHeight="1" thickBot="1">
      <c r="A4" s="166" t="s">
        <v>171</v>
      </c>
      <c r="C4" s="48"/>
      <c r="D4" s="48"/>
      <c r="E4" s="48"/>
      <c r="F4" s="48"/>
      <c r="G4" s="48"/>
      <c r="H4" s="48"/>
      <c r="I4" s="48"/>
      <c r="J4" s="48"/>
      <c r="K4" s="48"/>
    </row>
    <row r="5" spans="1:15" s="45" customFormat="1" ht="21" customHeight="1">
      <c r="A5" s="166" t="s">
        <v>172</v>
      </c>
      <c r="C5" s="48"/>
      <c r="D5" s="338" t="s">
        <v>200</v>
      </c>
      <c r="E5" s="335" t="s">
        <v>211</v>
      </c>
      <c r="F5" s="335" t="s">
        <v>212</v>
      </c>
      <c r="G5" s="335" t="s">
        <v>203</v>
      </c>
      <c r="H5" s="335" t="s">
        <v>123</v>
      </c>
      <c r="I5" s="335" t="s">
        <v>225</v>
      </c>
      <c r="J5" s="335" t="s">
        <v>124</v>
      </c>
      <c r="K5" s="342"/>
    </row>
    <row r="6" spans="1:15" s="45" customFormat="1" ht="21" customHeight="1" thickBot="1">
      <c r="A6" s="166" t="s">
        <v>219</v>
      </c>
      <c r="C6" s="48"/>
      <c r="D6" s="343"/>
      <c r="E6" s="336"/>
      <c r="F6" s="336"/>
      <c r="G6" s="336"/>
      <c r="H6" s="336"/>
      <c r="I6" s="336"/>
      <c r="J6" s="220" t="s">
        <v>226</v>
      </c>
      <c r="K6" s="221" t="s">
        <v>227</v>
      </c>
    </row>
    <row r="7" spans="1:15" s="45" customFormat="1" ht="16.5">
      <c r="A7" s="166" t="s">
        <v>173</v>
      </c>
      <c r="C7" s="48"/>
      <c r="D7" s="338" t="str">
        <f>IF(('1. Dades generals del projecte'!D30:E30)="","",('1. Dades generals del projecte'!D30:E30))</f>
        <v/>
      </c>
      <c r="E7" s="101"/>
      <c r="F7" s="353" t="str">
        <f>IF(E7="","",(IFERROR(((IF('1. Dades generals del projecte'!$J$30=0,"",'1. Dades generals del projecte'!$J$30))),"")))</f>
        <v/>
      </c>
      <c r="G7" s="353" t="str">
        <f>IFERROR((IF((F7+H7)&gt;F7,(F7+H7),"")),"")</f>
        <v/>
      </c>
      <c r="H7" s="356"/>
      <c r="I7" s="104"/>
      <c r="J7" s="105" t="str">
        <f>IFERROR((INDEX(Dades_PA!$A$1:$H$32,MATCH('2.1 Absorcions arbres'!E7,Dades_PA!$A$1:$A$32,0),(MATCH('2.1 Absorcions arbres'!$H$7,Dades_PA!$A$5:$H$5,0)))),"")</f>
        <v/>
      </c>
      <c r="K7" s="129" t="str">
        <f>IFERROR(((I7*J7)),"")</f>
        <v/>
      </c>
    </row>
    <row r="8" spans="1:15" s="45" customFormat="1" ht="18">
      <c r="A8" s="166" t="s">
        <v>220</v>
      </c>
      <c r="C8" s="48"/>
      <c r="D8" s="339"/>
      <c r="E8" s="106"/>
      <c r="F8" s="354"/>
      <c r="G8" s="354"/>
      <c r="H8" s="357"/>
      <c r="I8" s="108"/>
      <c r="J8" s="109" t="str">
        <f>IFERROR((INDEX(Dades_PA!$A$1:$H$32,MATCH('2.1 Absorcions arbres'!E8,Dades_PA!$A$1:$A$32,0),(MATCH('2.1 Absorcions arbres'!$H$7,Dades_PA!$A$5:$H$5,0)))),"")</f>
        <v/>
      </c>
      <c r="K8" s="130" t="str">
        <f t="shared" ref="K8:K56" si="0">IFERROR(((I8*J8)),"")</f>
        <v/>
      </c>
    </row>
    <row r="9" spans="1:15" s="45" customFormat="1" ht="16.5">
      <c r="A9" s="166" t="s">
        <v>174</v>
      </c>
      <c r="C9" s="48"/>
      <c r="D9" s="339"/>
      <c r="E9" s="106"/>
      <c r="F9" s="354"/>
      <c r="G9" s="354"/>
      <c r="H9" s="357"/>
      <c r="I9" s="108"/>
      <c r="J9" s="109" t="str">
        <f>IFERROR((INDEX(Dades_PA!$A$1:$H$32,MATCH('2.1 Absorcions arbres'!E9,Dades_PA!$A$1:$A$32,0),(MATCH('2.1 Absorcions arbres'!$H$7,Dades_PA!$A$5:$H$5,0)))),"")</f>
        <v/>
      </c>
      <c r="K9" s="130" t="str">
        <f t="shared" si="0"/>
        <v/>
      </c>
    </row>
    <row r="10" spans="1:15" s="45" customFormat="1" ht="16.5">
      <c r="A10" s="166" t="s">
        <v>175</v>
      </c>
      <c r="C10" s="48"/>
      <c r="D10" s="339"/>
      <c r="E10" s="106"/>
      <c r="F10" s="354"/>
      <c r="G10" s="354"/>
      <c r="H10" s="357"/>
      <c r="I10" s="108"/>
      <c r="J10" s="109" t="str">
        <f>IFERROR((INDEX(Dades_PA!$A$1:$H$32,MATCH('2.1 Absorcions arbres'!E10,Dades_PA!$A$1:$A$32,0),(MATCH('2.1 Absorcions arbres'!$H$7,Dades_PA!$A$5:$H$5,0)))),"")</f>
        <v/>
      </c>
      <c r="K10" s="130" t="str">
        <f t="shared" si="0"/>
        <v/>
      </c>
    </row>
    <row r="11" spans="1:15" s="45" customFormat="1" ht="16.5">
      <c r="A11" s="5"/>
      <c r="C11" s="48"/>
      <c r="D11" s="339"/>
      <c r="E11" s="106"/>
      <c r="F11" s="354"/>
      <c r="G11" s="354"/>
      <c r="H11" s="357"/>
      <c r="I11" s="108"/>
      <c r="J11" s="109" t="str">
        <f>IFERROR((INDEX(Dades_PA!$A$1:$H$32,MATCH('2.1 Absorcions arbres'!E11,Dades_PA!$A$1:$A$32,0),(MATCH('2.1 Absorcions arbres'!$H$7,Dades_PA!$A$5:$H$5,0)))),"")</f>
        <v/>
      </c>
      <c r="K11" s="130" t="str">
        <f t="shared" si="0"/>
        <v/>
      </c>
    </row>
    <row r="12" spans="1:15" s="45" customFormat="1" ht="16.5">
      <c r="A12" s="5"/>
      <c r="C12" s="48"/>
      <c r="D12" s="339"/>
      <c r="E12" s="106"/>
      <c r="F12" s="354"/>
      <c r="G12" s="354"/>
      <c r="H12" s="357"/>
      <c r="I12" s="108"/>
      <c r="J12" s="109" t="str">
        <f>IFERROR((INDEX(Dades_PA!$A$1:$H$32,MATCH('2.1 Absorcions arbres'!E12,Dades_PA!$A$1:$A$32,0),(MATCH('2.1 Absorcions arbres'!$H$7,Dades_PA!$A$5:$H$5,0)))),"")</f>
        <v/>
      </c>
      <c r="K12" s="130" t="str">
        <f t="shared" si="0"/>
        <v/>
      </c>
    </row>
    <row r="13" spans="1:15" s="45" customFormat="1" ht="16.5">
      <c r="A13" s="5"/>
      <c r="C13" s="48"/>
      <c r="D13" s="339"/>
      <c r="E13" s="106"/>
      <c r="F13" s="354"/>
      <c r="G13" s="354"/>
      <c r="H13" s="357"/>
      <c r="I13" s="108"/>
      <c r="J13" s="109" t="str">
        <f>IFERROR((INDEX(Dades_PA!$A$1:$H$32,MATCH('2.1 Absorcions arbres'!E13,Dades_PA!$A$1:$A$32,0),(MATCH('2.1 Absorcions arbres'!$H$7,Dades_PA!$A$5:$H$5,0)))),"")</f>
        <v/>
      </c>
      <c r="K13" s="130" t="str">
        <f t="shared" si="0"/>
        <v/>
      </c>
    </row>
    <row r="14" spans="1:15" s="45" customFormat="1" ht="16.5">
      <c r="C14" s="48"/>
      <c r="D14" s="339"/>
      <c r="E14" s="106"/>
      <c r="F14" s="354"/>
      <c r="G14" s="354"/>
      <c r="H14" s="357"/>
      <c r="I14" s="108"/>
      <c r="J14" s="109" t="str">
        <f>IFERROR((INDEX(Dades_PA!$A$1:$H$32,MATCH('2.1 Absorcions arbres'!E14,Dades_PA!$A$1:$A$32,0),(MATCH('2.1 Absorcions arbres'!$H$7,Dades_PA!$A$5:$H$5,0)))),"")</f>
        <v/>
      </c>
      <c r="K14" s="130" t="str">
        <f t="shared" si="0"/>
        <v/>
      </c>
    </row>
    <row r="15" spans="1:15" s="45" customFormat="1" ht="16.5">
      <c r="C15" s="48"/>
      <c r="D15" s="339"/>
      <c r="E15" s="106"/>
      <c r="F15" s="354"/>
      <c r="G15" s="354"/>
      <c r="H15" s="357"/>
      <c r="I15" s="108"/>
      <c r="J15" s="109" t="str">
        <f>IFERROR((INDEX(Dades_PA!$A$1:$H$32,MATCH('2.1 Absorcions arbres'!E15,Dades_PA!$A$1:$A$32,0),(MATCH('2.1 Absorcions arbres'!$H$7,Dades_PA!$A$5:$H$5,0)))),"")</f>
        <v/>
      </c>
      <c r="K15" s="130" t="str">
        <f t="shared" si="0"/>
        <v/>
      </c>
    </row>
    <row r="16" spans="1:15" s="45" customFormat="1" ht="17.25" thickBot="1">
      <c r="C16" s="48"/>
      <c r="D16" s="340"/>
      <c r="E16" s="110"/>
      <c r="F16" s="355"/>
      <c r="G16" s="355"/>
      <c r="H16" s="358"/>
      <c r="I16" s="112"/>
      <c r="J16" s="113" t="str">
        <f>IFERROR((INDEX(Dades_PA!$A$1:$H$32,MATCH('2.1 Absorcions arbres'!E16,Dades_PA!$A$1:$A$32,0),(MATCH('2.1 Absorcions arbres'!$H$7,Dades_PA!$A$5:$H$5,0)))),"")</f>
        <v/>
      </c>
      <c r="K16" s="131" t="str">
        <f t="shared" si="0"/>
        <v/>
      </c>
    </row>
    <row r="17" spans="3:11" s="45" customFormat="1" ht="16.5">
      <c r="C17" s="48"/>
      <c r="D17" s="338" t="str">
        <f>IF(('1. Dades generals del projecte'!D31:E31)="","",('1. Dades generals del projecte'!D31:E31))</f>
        <v/>
      </c>
      <c r="E17" s="102"/>
      <c r="F17" s="353" t="str">
        <f>IF(E17="","",(IFERROR(((IF('1. Dades generals del projecte'!$J$31=0,"",'1. Dades generals del projecte'!$J$31))),"")))</f>
        <v/>
      </c>
      <c r="G17" s="353" t="str">
        <f t="shared" ref="G17:G47" si="1">IFERROR((IF((F17+H17)&gt;F17,(F17+H17),"")),"")</f>
        <v/>
      </c>
      <c r="H17" s="356"/>
      <c r="I17" s="104"/>
      <c r="J17" s="105" t="str">
        <f>IFERROR((INDEX(Dades_PA!$A$1:$H$32,MATCH('2.1 Absorcions arbres'!E17,Dades_PA!$A$1:$A$32,0),(MATCH('2.1 Absorcions arbres'!$H$17,Dades_PA!$A$5:$H$5,0)))),"")</f>
        <v/>
      </c>
      <c r="K17" s="129" t="str">
        <f t="shared" si="0"/>
        <v/>
      </c>
    </row>
    <row r="18" spans="3:11" s="45" customFormat="1" ht="16.5">
      <c r="C18" s="48"/>
      <c r="D18" s="339"/>
      <c r="E18" s="106"/>
      <c r="F18" s="354"/>
      <c r="G18" s="354"/>
      <c r="H18" s="357"/>
      <c r="I18" s="108"/>
      <c r="J18" s="109" t="str">
        <f>IFERROR((INDEX(Dades_PA!$A$1:$H$32,MATCH('2.1 Absorcions arbres'!E18,Dades_PA!$A$1:$A$32,0),(MATCH('2.1 Absorcions arbres'!$H$17,Dades_PA!$A$5:$H$5,0)))),"")</f>
        <v/>
      </c>
      <c r="K18" s="130" t="str">
        <f t="shared" si="0"/>
        <v/>
      </c>
    </row>
    <row r="19" spans="3:11" s="45" customFormat="1" ht="16.5">
      <c r="D19" s="339"/>
      <c r="E19" s="106"/>
      <c r="F19" s="354"/>
      <c r="G19" s="354"/>
      <c r="H19" s="357"/>
      <c r="I19" s="108"/>
      <c r="J19" s="109" t="str">
        <f>IFERROR((INDEX(Dades_PA!$A$1:$H$32,MATCH('2.1 Absorcions arbres'!E19,Dades_PA!$A$1:$A$32,0),(MATCH('2.1 Absorcions arbres'!$H$17,Dades_PA!$A$5:$H$5,0)))),"")</f>
        <v/>
      </c>
      <c r="K19" s="130" t="str">
        <f t="shared" si="0"/>
        <v/>
      </c>
    </row>
    <row r="20" spans="3:11" s="45" customFormat="1" ht="16.5">
      <c r="D20" s="339"/>
      <c r="E20" s="106"/>
      <c r="F20" s="354"/>
      <c r="G20" s="354"/>
      <c r="H20" s="357"/>
      <c r="I20" s="108"/>
      <c r="J20" s="109" t="str">
        <f>IFERROR((INDEX(Dades_PA!$A$1:$H$32,MATCH('2.1 Absorcions arbres'!E20,Dades_PA!$A$1:$A$32,0),(MATCH('2.1 Absorcions arbres'!$H$17,Dades_PA!$A$5:$H$5,0)))),"")</f>
        <v/>
      </c>
      <c r="K20" s="130" t="str">
        <f t="shared" si="0"/>
        <v/>
      </c>
    </row>
    <row r="21" spans="3:11" s="45" customFormat="1" ht="16.5">
      <c r="D21" s="339"/>
      <c r="E21" s="106"/>
      <c r="F21" s="354"/>
      <c r="G21" s="354"/>
      <c r="H21" s="357"/>
      <c r="I21" s="108"/>
      <c r="J21" s="109" t="str">
        <f>IFERROR((INDEX(Dades_PA!$A$1:$H$32,MATCH('2.1 Absorcions arbres'!E21,Dades_PA!$A$1:$A$32,0),(MATCH('2.1 Absorcions arbres'!$H$17,Dades_PA!$A$5:$H$5,0)))),"")</f>
        <v/>
      </c>
      <c r="K21" s="130" t="str">
        <f t="shared" si="0"/>
        <v/>
      </c>
    </row>
    <row r="22" spans="3:11" s="45" customFormat="1" ht="16.5">
      <c r="D22" s="339"/>
      <c r="E22" s="106"/>
      <c r="F22" s="354"/>
      <c r="G22" s="354"/>
      <c r="H22" s="357"/>
      <c r="I22" s="108"/>
      <c r="J22" s="109" t="str">
        <f>IFERROR((INDEX(Dades_PA!$A$1:$H$32,MATCH('2.1 Absorcions arbres'!E22,Dades_PA!$A$1:$A$32,0),(MATCH('2.1 Absorcions arbres'!$H$17,Dades_PA!$A$5:$H$5,0)))),"")</f>
        <v/>
      </c>
      <c r="K22" s="130" t="str">
        <f t="shared" si="0"/>
        <v/>
      </c>
    </row>
    <row r="23" spans="3:11" s="45" customFormat="1" ht="16.5">
      <c r="D23" s="339"/>
      <c r="E23" s="106"/>
      <c r="F23" s="354"/>
      <c r="G23" s="354"/>
      <c r="H23" s="357"/>
      <c r="I23" s="108"/>
      <c r="J23" s="109" t="str">
        <f>IFERROR((INDEX(Dades_PA!$A$1:$H$32,MATCH('2.1 Absorcions arbres'!E23,Dades_PA!$A$1:$A$32,0),(MATCH('2.1 Absorcions arbres'!$H$17,Dades_PA!$A$5:$H$5,0)))),"")</f>
        <v/>
      </c>
      <c r="K23" s="130" t="str">
        <f t="shared" si="0"/>
        <v/>
      </c>
    </row>
    <row r="24" spans="3:11" s="45" customFormat="1" ht="16.5">
      <c r="D24" s="339"/>
      <c r="E24" s="106"/>
      <c r="F24" s="354"/>
      <c r="G24" s="354"/>
      <c r="H24" s="357"/>
      <c r="I24" s="108"/>
      <c r="J24" s="109" t="str">
        <f>IFERROR((INDEX(Dades_PA!$A$1:$H$32,MATCH('2.1 Absorcions arbres'!E24,Dades_PA!$A$1:$A$32,0),(MATCH('2.1 Absorcions arbres'!$H$17,Dades_PA!$A$5:$H$5,0)))),"")</f>
        <v/>
      </c>
      <c r="K24" s="130" t="str">
        <f t="shared" si="0"/>
        <v/>
      </c>
    </row>
    <row r="25" spans="3:11" s="45" customFormat="1" ht="16.5">
      <c r="D25" s="339"/>
      <c r="E25" s="106"/>
      <c r="F25" s="354"/>
      <c r="G25" s="354"/>
      <c r="H25" s="357"/>
      <c r="I25" s="108"/>
      <c r="J25" s="109" t="str">
        <f>IFERROR((INDEX(Dades_PA!$A$1:$H$32,MATCH('2.1 Absorcions arbres'!E25,Dades_PA!$A$1:$A$32,0),(MATCH('2.1 Absorcions arbres'!$H$17,Dades_PA!$A$5:$H$5,0)))),"")</f>
        <v/>
      </c>
      <c r="K25" s="130" t="str">
        <f t="shared" si="0"/>
        <v/>
      </c>
    </row>
    <row r="26" spans="3:11" s="45" customFormat="1" ht="17.25" thickBot="1">
      <c r="D26" s="340"/>
      <c r="E26" s="110"/>
      <c r="F26" s="355"/>
      <c r="G26" s="355"/>
      <c r="H26" s="358"/>
      <c r="I26" s="112"/>
      <c r="J26" s="113" t="str">
        <f>IFERROR((INDEX(Dades_PA!$A$1:$H$32,MATCH('2.1 Absorcions arbres'!E26,Dades_PA!$A$1:$A$32,0),(MATCH('2.1 Absorcions arbres'!$H$17,Dades_PA!$A$5:$H$5,0)))),"")</f>
        <v/>
      </c>
      <c r="K26" s="131" t="str">
        <f t="shared" si="0"/>
        <v/>
      </c>
    </row>
    <row r="27" spans="3:11" s="45" customFormat="1" ht="16.5" customHeight="1">
      <c r="D27" s="338" t="str">
        <f>IF(('1. Dades generals del projecte'!D32:E32)="","",('1. Dades generals del projecte'!D32:E32))</f>
        <v/>
      </c>
      <c r="E27" s="102"/>
      <c r="F27" s="353" t="str">
        <f>IF(E27="","",(IFERROR(((IF('1. Dades generals del projecte'!$J$32=0,"",'1. Dades generals del projecte'!$J$32))),"")))</f>
        <v/>
      </c>
      <c r="G27" s="353" t="str">
        <f t="shared" si="1"/>
        <v/>
      </c>
      <c r="H27" s="356"/>
      <c r="I27" s="104"/>
      <c r="J27" s="105" t="str">
        <f>IFERROR((INDEX(Dades_PA!$A$1:$H$32,MATCH('2.1 Absorcions arbres'!E27,Dades_PA!$A$1:$A$32,0),(MATCH('2.1 Absorcions arbres'!$H$27,Dades_PA!$A$5:$H$5,0)))),"")</f>
        <v/>
      </c>
      <c r="K27" s="129" t="str">
        <f t="shared" si="0"/>
        <v/>
      </c>
    </row>
    <row r="28" spans="3:11" s="45" customFormat="1" ht="16.5">
      <c r="D28" s="339"/>
      <c r="E28" s="106"/>
      <c r="F28" s="354"/>
      <c r="G28" s="354"/>
      <c r="H28" s="357"/>
      <c r="I28" s="108"/>
      <c r="J28" s="109" t="str">
        <f>IFERROR((INDEX(Dades_PA!$A$1:$H$32,MATCH('2.1 Absorcions arbres'!E28,Dades_PA!$A$1:$A$32,0),(MATCH('2.1 Absorcions arbres'!$H$27,Dades_PA!$A$5:$H$5,0)))),"")</f>
        <v/>
      </c>
      <c r="K28" s="130" t="str">
        <f t="shared" si="0"/>
        <v/>
      </c>
    </row>
    <row r="29" spans="3:11" s="45" customFormat="1" ht="16.5">
      <c r="D29" s="339"/>
      <c r="E29" s="106"/>
      <c r="F29" s="354"/>
      <c r="G29" s="354"/>
      <c r="H29" s="357"/>
      <c r="I29" s="108"/>
      <c r="J29" s="109" t="str">
        <f>IFERROR((INDEX(Dades_PA!$A$1:$H$32,MATCH('2.1 Absorcions arbres'!E29,Dades_PA!$A$1:$A$32,0),(MATCH('2.1 Absorcions arbres'!$H$27,Dades_PA!$A$5:$H$5,0)))),"")</f>
        <v/>
      </c>
      <c r="K29" s="130" t="str">
        <f t="shared" si="0"/>
        <v/>
      </c>
    </row>
    <row r="30" spans="3:11" s="45" customFormat="1" ht="16.5">
      <c r="D30" s="339"/>
      <c r="E30" s="106"/>
      <c r="F30" s="354"/>
      <c r="G30" s="354"/>
      <c r="H30" s="357"/>
      <c r="I30" s="108"/>
      <c r="J30" s="109" t="str">
        <f>IFERROR((INDEX(Dades_PA!$A$1:$H$32,MATCH('2.1 Absorcions arbres'!E30,Dades_PA!$A$1:$A$32,0),(MATCH('2.1 Absorcions arbres'!$H$27,Dades_PA!$A$5:$H$5,0)))),"")</f>
        <v/>
      </c>
      <c r="K30" s="130" t="str">
        <f t="shared" si="0"/>
        <v/>
      </c>
    </row>
    <row r="31" spans="3:11" s="45" customFormat="1" ht="16.5">
      <c r="D31" s="339"/>
      <c r="E31" s="106"/>
      <c r="F31" s="354"/>
      <c r="G31" s="354"/>
      <c r="H31" s="357"/>
      <c r="I31" s="108"/>
      <c r="J31" s="109" t="str">
        <f>IFERROR((INDEX(Dades_PA!$A$1:$H$32,MATCH('2.1 Absorcions arbres'!E31,Dades_PA!$A$1:$A$32,0),(MATCH('2.1 Absorcions arbres'!$H$27,Dades_PA!$A$5:$H$5,0)))),"")</f>
        <v/>
      </c>
      <c r="K31" s="130" t="str">
        <f t="shared" si="0"/>
        <v/>
      </c>
    </row>
    <row r="32" spans="3:11" s="45" customFormat="1" ht="16.5">
      <c r="D32" s="339"/>
      <c r="E32" s="106"/>
      <c r="F32" s="354"/>
      <c r="G32" s="354"/>
      <c r="H32" s="357"/>
      <c r="I32" s="108"/>
      <c r="J32" s="109" t="str">
        <f>IFERROR((INDEX(Dades_PA!$A$1:$H$32,MATCH('2.1 Absorcions arbres'!E32,Dades_PA!$A$1:$A$32,0),(MATCH('2.1 Absorcions arbres'!$H$27,Dades_PA!$A$5:$H$5,0)))),"")</f>
        <v/>
      </c>
      <c r="K32" s="130" t="str">
        <f t="shared" si="0"/>
        <v/>
      </c>
    </row>
    <row r="33" spans="3:11" s="45" customFormat="1" ht="16.5">
      <c r="D33" s="339"/>
      <c r="E33" s="106"/>
      <c r="F33" s="354"/>
      <c r="G33" s="354"/>
      <c r="H33" s="357"/>
      <c r="I33" s="108"/>
      <c r="J33" s="109" t="str">
        <f>IFERROR((INDEX(Dades_PA!$A$1:$H$32,MATCH('2.1 Absorcions arbres'!E33,Dades_PA!$A$1:$A$32,0),(MATCH('2.1 Absorcions arbres'!$H$27,Dades_PA!$A$5:$H$5,0)))),"")</f>
        <v/>
      </c>
      <c r="K33" s="130" t="str">
        <f t="shared" si="0"/>
        <v/>
      </c>
    </row>
    <row r="34" spans="3:11" s="45" customFormat="1" ht="16.5">
      <c r="D34" s="339"/>
      <c r="E34" s="106"/>
      <c r="F34" s="354"/>
      <c r="G34" s="354"/>
      <c r="H34" s="357"/>
      <c r="I34" s="108"/>
      <c r="J34" s="109" t="str">
        <f>IFERROR((INDEX(Dades_PA!$A$1:$H$32,MATCH('2.1 Absorcions arbres'!E34,Dades_PA!$A$1:$A$32,0),(MATCH('2.1 Absorcions arbres'!$H$27,Dades_PA!$A$5:$H$5,0)))),"")</f>
        <v/>
      </c>
      <c r="K34" s="130" t="str">
        <f t="shared" si="0"/>
        <v/>
      </c>
    </row>
    <row r="35" spans="3:11" s="45" customFormat="1" ht="16.5">
      <c r="D35" s="339"/>
      <c r="E35" s="106"/>
      <c r="F35" s="354"/>
      <c r="G35" s="354"/>
      <c r="H35" s="357"/>
      <c r="I35" s="108"/>
      <c r="J35" s="109" t="str">
        <f>IFERROR((INDEX(Dades_PA!$A$1:$H$32,MATCH('2.1 Absorcions arbres'!E35,Dades_PA!$A$1:$A$32,0),(MATCH('2.1 Absorcions arbres'!$H$27,Dades_PA!$A$5:$H$5,0)))),"")</f>
        <v/>
      </c>
      <c r="K35" s="130" t="str">
        <f t="shared" si="0"/>
        <v/>
      </c>
    </row>
    <row r="36" spans="3:11" s="45" customFormat="1" ht="17.25" thickBot="1">
      <c r="D36" s="340"/>
      <c r="E36" s="110"/>
      <c r="F36" s="355"/>
      <c r="G36" s="355"/>
      <c r="H36" s="358"/>
      <c r="I36" s="112"/>
      <c r="J36" s="113" t="str">
        <f>IFERROR((INDEX(Dades_PA!$A$1:$H$32,MATCH('2.1 Absorcions arbres'!E36,Dades_PA!$A$1:$A$32,0),(MATCH('2.1 Absorcions arbres'!$H$27,Dades_PA!$A$5:$H$5,0)))),"")</f>
        <v/>
      </c>
      <c r="K36" s="131" t="str">
        <f t="shared" si="0"/>
        <v/>
      </c>
    </row>
    <row r="37" spans="3:11" s="45" customFormat="1" ht="16.5" customHeight="1">
      <c r="D37" s="338" t="str">
        <f>IF(('1. Dades generals del projecte'!D33:E33)="","",('1. Dades generals del projecte'!D33:E33))</f>
        <v/>
      </c>
      <c r="E37" s="102"/>
      <c r="F37" s="353" t="str">
        <f>IF(E37="","",(IFERROR(((IF('1. Dades generals del projecte'!$J$33=0,"",'1. Dades generals del projecte'!$J$33))),"")))</f>
        <v/>
      </c>
      <c r="G37" s="353" t="str">
        <f t="shared" si="1"/>
        <v/>
      </c>
      <c r="H37" s="356"/>
      <c r="I37" s="104"/>
      <c r="J37" s="105" t="str">
        <f>IFERROR((INDEX(Dades_PA!$A$1:$H$32,MATCH('2.1 Absorcions arbres'!E37,Dades_PA!$A$1:$A$32,0),(MATCH('2.1 Absorcions arbres'!$H$37,Dades_PA!$A$5:$H$5,0)))),"")</f>
        <v/>
      </c>
      <c r="K37" s="129" t="str">
        <f t="shared" si="0"/>
        <v/>
      </c>
    </row>
    <row r="38" spans="3:11" s="45" customFormat="1" ht="16.5">
      <c r="C38" s="49"/>
      <c r="D38" s="339"/>
      <c r="E38" s="106"/>
      <c r="F38" s="354"/>
      <c r="G38" s="354"/>
      <c r="H38" s="357"/>
      <c r="I38" s="108"/>
      <c r="J38" s="109" t="str">
        <f>IFERROR((INDEX(Dades_PA!$A$1:$H$32,MATCH('2.1 Absorcions arbres'!E38,Dades_PA!$A$1:$A$32,0),(MATCH('2.1 Absorcions arbres'!$H$37,Dades_PA!$A$5:$H$5,0)))),"")</f>
        <v/>
      </c>
      <c r="K38" s="130" t="str">
        <f t="shared" si="0"/>
        <v/>
      </c>
    </row>
    <row r="39" spans="3:11" s="45" customFormat="1" ht="16.5">
      <c r="D39" s="339"/>
      <c r="E39" s="106"/>
      <c r="F39" s="354"/>
      <c r="G39" s="354"/>
      <c r="H39" s="357"/>
      <c r="I39" s="108"/>
      <c r="J39" s="109" t="str">
        <f>IFERROR((INDEX(Dades_PA!$A$1:$H$32,MATCH('2.1 Absorcions arbres'!E39,Dades_PA!$A$1:$A$32,0),(MATCH('2.1 Absorcions arbres'!$H$37,Dades_PA!$A$5:$H$5,0)))),"")</f>
        <v/>
      </c>
      <c r="K39" s="130" t="str">
        <f t="shared" si="0"/>
        <v/>
      </c>
    </row>
    <row r="40" spans="3:11" s="45" customFormat="1" ht="16.5">
      <c r="D40" s="339"/>
      <c r="E40" s="106"/>
      <c r="F40" s="354"/>
      <c r="G40" s="354"/>
      <c r="H40" s="357"/>
      <c r="I40" s="108"/>
      <c r="J40" s="109" t="str">
        <f>IFERROR((INDEX(Dades_PA!$A$1:$H$32,MATCH('2.1 Absorcions arbres'!E40,Dades_PA!$A$1:$A$32,0),(MATCH('2.1 Absorcions arbres'!$H$37,Dades_PA!$A$5:$H$5,0)))),"")</f>
        <v/>
      </c>
      <c r="K40" s="130" t="str">
        <f t="shared" si="0"/>
        <v/>
      </c>
    </row>
    <row r="41" spans="3:11" s="45" customFormat="1" ht="16.5">
      <c r="D41" s="339"/>
      <c r="E41" s="106"/>
      <c r="F41" s="354"/>
      <c r="G41" s="354"/>
      <c r="H41" s="357"/>
      <c r="I41" s="108"/>
      <c r="J41" s="109" t="str">
        <f>IFERROR((INDEX(Dades_PA!$A$1:$H$32,MATCH('2.1 Absorcions arbres'!E41,Dades_PA!$A$1:$A$32,0),(MATCH('2.1 Absorcions arbres'!$H$37,Dades_PA!$A$5:$H$5,0)))),"")</f>
        <v/>
      </c>
      <c r="K41" s="130" t="str">
        <f t="shared" si="0"/>
        <v/>
      </c>
    </row>
    <row r="42" spans="3:11" s="45" customFormat="1" ht="16.5">
      <c r="D42" s="339"/>
      <c r="E42" s="106"/>
      <c r="F42" s="354"/>
      <c r="G42" s="354"/>
      <c r="H42" s="357"/>
      <c r="I42" s="108"/>
      <c r="J42" s="109" t="str">
        <f>IFERROR((INDEX(Dades_PA!$A$1:$H$32,MATCH('2.1 Absorcions arbres'!E42,Dades_PA!$A$1:$A$32,0),(MATCH('2.1 Absorcions arbres'!$H$37,Dades_PA!$A$5:$H$5,0)))),"")</f>
        <v/>
      </c>
      <c r="K42" s="130" t="str">
        <f t="shared" si="0"/>
        <v/>
      </c>
    </row>
    <row r="43" spans="3:11" s="45" customFormat="1" ht="16.5">
      <c r="D43" s="339"/>
      <c r="E43" s="106"/>
      <c r="F43" s="354"/>
      <c r="G43" s="354"/>
      <c r="H43" s="357"/>
      <c r="I43" s="108"/>
      <c r="J43" s="109" t="str">
        <f>IFERROR((INDEX(Dades_PA!$A$1:$H$32,MATCH('2.1 Absorcions arbres'!E43,Dades_PA!$A$1:$A$32,0),(MATCH('2.1 Absorcions arbres'!$H$37,Dades_PA!$A$5:$H$5,0)))),"")</f>
        <v/>
      </c>
      <c r="K43" s="130" t="str">
        <f t="shared" si="0"/>
        <v/>
      </c>
    </row>
    <row r="44" spans="3:11" s="45" customFormat="1" ht="16.5">
      <c r="D44" s="339"/>
      <c r="E44" s="106"/>
      <c r="F44" s="354"/>
      <c r="G44" s="354"/>
      <c r="H44" s="357"/>
      <c r="I44" s="108"/>
      <c r="J44" s="109" t="str">
        <f>IFERROR((INDEX(Dades_PA!$A$1:$H$32,MATCH('2.1 Absorcions arbres'!E44,Dades_PA!$A$1:$A$32,0),(MATCH('2.1 Absorcions arbres'!$H$37,Dades_PA!$A$5:$H$5,0)))),"")</f>
        <v/>
      </c>
      <c r="K44" s="130" t="str">
        <f t="shared" si="0"/>
        <v/>
      </c>
    </row>
    <row r="45" spans="3:11" s="45" customFormat="1" ht="16.5">
      <c r="D45" s="339"/>
      <c r="E45" s="106"/>
      <c r="F45" s="354"/>
      <c r="G45" s="354"/>
      <c r="H45" s="357"/>
      <c r="I45" s="108"/>
      <c r="J45" s="109" t="str">
        <f>IFERROR((INDEX(Dades_PA!$A$1:$H$32,MATCH('2.1 Absorcions arbres'!E45,Dades_PA!$A$1:$A$32,0),(MATCH('2.1 Absorcions arbres'!$H$37,Dades_PA!$A$5:$H$5,0)))),"")</f>
        <v/>
      </c>
      <c r="K45" s="130" t="str">
        <f t="shared" si="0"/>
        <v/>
      </c>
    </row>
    <row r="46" spans="3:11" s="45" customFormat="1" ht="17.25" thickBot="1">
      <c r="D46" s="340"/>
      <c r="E46" s="110"/>
      <c r="F46" s="355"/>
      <c r="G46" s="355"/>
      <c r="H46" s="358"/>
      <c r="I46" s="112"/>
      <c r="J46" s="113" t="str">
        <f>IFERROR((INDEX(Dades_PA!$A$1:$H$32,MATCH('2.1 Absorcions arbres'!E46,Dades_PA!$A$1:$A$32,0),(MATCH('2.1 Absorcions arbres'!$H$37,Dades_PA!$A$5:$H$5,0)))),"")</f>
        <v/>
      </c>
      <c r="K46" s="131" t="str">
        <f t="shared" si="0"/>
        <v/>
      </c>
    </row>
    <row r="47" spans="3:11" s="45" customFormat="1" ht="16.5" customHeight="1">
      <c r="D47" s="338" t="str">
        <f>IF(('1. Dades generals del projecte'!D34:E34)="","",('1. Dades generals del projecte'!D34:E34))</f>
        <v/>
      </c>
      <c r="E47" s="102"/>
      <c r="F47" s="353" t="str">
        <f>IF(E47="","",(IFERROR(((IF('1. Dades generals del projecte'!$J$34=0,"",'1. Dades generals del projecte'!$J$34))),"")))</f>
        <v/>
      </c>
      <c r="G47" s="353" t="str">
        <f t="shared" si="1"/>
        <v/>
      </c>
      <c r="H47" s="356"/>
      <c r="I47" s="104"/>
      <c r="J47" s="105" t="str">
        <f>IFERROR((INDEX(Dades_PA!$A$1:$H$32,MATCH('2.1 Absorcions arbres'!E47,Dades_PA!$A$1:$A$32,0),(MATCH('2.1 Absorcions arbres'!$H$47,Dades_PA!$A$5:$H$5,0)))),"")</f>
        <v/>
      </c>
      <c r="K47" s="129" t="str">
        <f t="shared" si="0"/>
        <v/>
      </c>
    </row>
    <row r="48" spans="3:11" s="45" customFormat="1" ht="16.5">
      <c r="D48" s="339"/>
      <c r="E48" s="106"/>
      <c r="F48" s="354"/>
      <c r="G48" s="354"/>
      <c r="H48" s="357"/>
      <c r="I48" s="108"/>
      <c r="J48" s="109" t="str">
        <f>IFERROR((INDEX(Dades_PA!$A$1:$H$32,MATCH('2.1 Absorcions arbres'!E48,Dades_PA!$A$1:$A$32,0),(MATCH('2.1 Absorcions arbres'!$H$47,Dades_PA!$A$5:$H$5,0)))),"")</f>
        <v/>
      </c>
      <c r="K48" s="130" t="str">
        <f t="shared" si="0"/>
        <v/>
      </c>
    </row>
    <row r="49" spans="3:11" s="45" customFormat="1" ht="16.5">
      <c r="D49" s="339"/>
      <c r="E49" s="106"/>
      <c r="F49" s="354"/>
      <c r="G49" s="354"/>
      <c r="H49" s="357"/>
      <c r="I49" s="108"/>
      <c r="J49" s="109" t="str">
        <f>IFERROR((INDEX(Dades_PA!$A$1:$H$32,MATCH('2.1 Absorcions arbres'!E49,Dades_PA!$A$1:$A$32,0),(MATCH('2.1 Absorcions arbres'!$H$47,Dades_PA!$A$5:$H$5,0)))),"")</f>
        <v/>
      </c>
      <c r="K49" s="130" t="str">
        <f t="shared" si="0"/>
        <v/>
      </c>
    </row>
    <row r="50" spans="3:11" s="45" customFormat="1" ht="16.5">
      <c r="D50" s="339"/>
      <c r="E50" s="106"/>
      <c r="F50" s="354"/>
      <c r="G50" s="354"/>
      <c r="H50" s="357"/>
      <c r="I50" s="108"/>
      <c r="J50" s="109" t="str">
        <f>IFERROR((INDEX(Dades_PA!$A$1:$H$32,MATCH('2.1 Absorcions arbres'!E50,Dades_PA!$A$1:$A$32,0),(MATCH('2.1 Absorcions arbres'!$H$47,Dades_PA!$A$5:$H$5,0)))),"")</f>
        <v/>
      </c>
      <c r="K50" s="130" t="str">
        <f t="shared" si="0"/>
        <v/>
      </c>
    </row>
    <row r="51" spans="3:11" s="45" customFormat="1" ht="16.5">
      <c r="D51" s="339"/>
      <c r="E51" s="106"/>
      <c r="F51" s="354"/>
      <c r="G51" s="354"/>
      <c r="H51" s="357"/>
      <c r="I51" s="108"/>
      <c r="J51" s="109" t="str">
        <f>IFERROR((INDEX(Dades_PA!$A$1:$H$32,MATCH('2.1 Absorcions arbres'!E51,Dades_PA!$A$1:$A$32,0),(MATCH('2.1 Absorcions arbres'!$H$47,Dades_PA!$A$5:$H$5,0)))),"")</f>
        <v/>
      </c>
      <c r="K51" s="130" t="str">
        <f t="shared" si="0"/>
        <v/>
      </c>
    </row>
    <row r="52" spans="3:11" s="45" customFormat="1" ht="16.5">
      <c r="D52" s="339"/>
      <c r="E52" s="106"/>
      <c r="F52" s="354"/>
      <c r="G52" s="354"/>
      <c r="H52" s="357"/>
      <c r="I52" s="108"/>
      <c r="J52" s="109" t="str">
        <f>IFERROR((INDEX(Dades_PA!$A$1:$H$32,MATCH('2.1 Absorcions arbres'!E52,Dades_PA!$A$1:$A$32,0),(MATCH('2.1 Absorcions arbres'!$H$47,Dades_PA!$A$5:$H$5,0)))),"")</f>
        <v/>
      </c>
      <c r="K52" s="130" t="str">
        <f t="shared" si="0"/>
        <v/>
      </c>
    </row>
    <row r="53" spans="3:11" s="45" customFormat="1" ht="16.5">
      <c r="D53" s="339"/>
      <c r="E53" s="106"/>
      <c r="F53" s="354"/>
      <c r="G53" s="354"/>
      <c r="H53" s="357"/>
      <c r="I53" s="108"/>
      <c r="J53" s="109" t="str">
        <f>IFERROR((INDEX(Dades_PA!$A$1:$H$32,MATCH('2.1 Absorcions arbres'!E53,Dades_PA!$A$1:$A$32,0),(MATCH('2.1 Absorcions arbres'!$H$47,Dades_PA!$A$5:$H$5,0)))),"")</f>
        <v/>
      </c>
      <c r="K53" s="130" t="str">
        <f t="shared" si="0"/>
        <v/>
      </c>
    </row>
    <row r="54" spans="3:11" s="45" customFormat="1" ht="16.5">
      <c r="D54" s="339"/>
      <c r="E54" s="106"/>
      <c r="F54" s="354"/>
      <c r="G54" s="354"/>
      <c r="H54" s="357"/>
      <c r="I54" s="108"/>
      <c r="J54" s="109" t="str">
        <f>IFERROR((INDEX(Dades_PA!$A$1:$H$32,MATCH('2.1 Absorcions arbres'!E54,Dades_PA!$A$1:$A$32,0),(MATCH('2.1 Absorcions arbres'!$H$47,Dades_PA!$A$5:$H$5,0)))),"")</f>
        <v/>
      </c>
      <c r="K54" s="130" t="str">
        <f t="shared" si="0"/>
        <v/>
      </c>
    </row>
    <row r="55" spans="3:11" s="45" customFormat="1" ht="16.5">
      <c r="D55" s="339"/>
      <c r="E55" s="106"/>
      <c r="F55" s="354"/>
      <c r="G55" s="354"/>
      <c r="H55" s="357"/>
      <c r="I55" s="108"/>
      <c r="J55" s="109" t="str">
        <f>IFERROR((INDEX(Dades_PA!$A$1:$H$32,MATCH('2.1 Absorcions arbres'!E55,Dades_PA!$A$1:$A$32,0),(MATCH('2.1 Absorcions arbres'!$H$47,Dades_PA!$A$5:$H$5,0)))),"")</f>
        <v/>
      </c>
      <c r="K55" s="130" t="str">
        <f t="shared" si="0"/>
        <v/>
      </c>
    </row>
    <row r="56" spans="3:11" s="45" customFormat="1" ht="17.25" thickBot="1">
      <c r="D56" s="340"/>
      <c r="E56" s="110"/>
      <c r="F56" s="355"/>
      <c r="G56" s="355"/>
      <c r="H56" s="358"/>
      <c r="I56" s="112"/>
      <c r="J56" s="113" t="str">
        <f>IFERROR((INDEX(Dades_PA!$A$1:$H$32,MATCH('2.1 Absorcions arbres'!E56,Dades_PA!$A$1:$A$32,0),(MATCH('2.1 Absorcions arbres'!$H$47,Dades_PA!$A$5:$H$5,0)))),"")</f>
        <v/>
      </c>
      <c r="K56" s="131" t="str">
        <f t="shared" si="0"/>
        <v/>
      </c>
    </row>
    <row r="57" spans="3:11" s="45" customFormat="1" ht="17.25" thickBot="1">
      <c r="D57" s="223" t="s">
        <v>15</v>
      </c>
      <c r="E57" s="224" t="s">
        <v>14</v>
      </c>
      <c r="F57" s="224" t="s">
        <v>14</v>
      </c>
      <c r="G57" s="224" t="s">
        <v>14</v>
      </c>
      <c r="H57" s="224" t="s">
        <v>14</v>
      </c>
      <c r="I57" s="225">
        <f>SUM(I7:I56)</f>
        <v>0</v>
      </c>
      <c r="J57" s="222" t="s">
        <v>14</v>
      </c>
      <c r="K57" s="226">
        <f>SUM(K7:K56)</f>
        <v>0</v>
      </c>
    </row>
    <row r="58" spans="3:11" s="45" customFormat="1">
      <c r="D58" s="50"/>
      <c r="E58" s="50"/>
      <c r="F58" s="50"/>
      <c r="G58" s="50"/>
      <c r="H58" s="50"/>
      <c r="I58" s="50"/>
      <c r="J58" s="50"/>
      <c r="K58" s="50"/>
    </row>
    <row r="59" spans="3:11" s="45" customFormat="1">
      <c r="D59" s="344" t="s">
        <v>228</v>
      </c>
      <c r="E59" s="345"/>
      <c r="F59" s="345"/>
      <c r="G59" s="345"/>
      <c r="H59" s="345"/>
      <c r="I59" s="345"/>
      <c r="J59" s="345"/>
      <c r="K59" s="346"/>
    </row>
    <row r="60" spans="3:11" s="45" customFormat="1">
      <c r="D60" s="347"/>
      <c r="E60" s="348"/>
      <c r="F60" s="348"/>
      <c r="G60" s="348"/>
      <c r="H60" s="348"/>
      <c r="I60" s="348"/>
      <c r="J60" s="348"/>
      <c r="K60" s="349"/>
    </row>
    <row r="61" spans="3:11" s="45" customFormat="1">
      <c r="D61" s="347"/>
      <c r="E61" s="348"/>
      <c r="F61" s="348"/>
      <c r="G61" s="348"/>
      <c r="H61" s="348"/>
      <c r="I61" s="348"/>
      <c r="J61" s="348"/>
      <c r="K61" s="349"/>
    </row>
    <row r="62" spans="3:11" s="45" customFormat="1">
      <c r="D62" s="347"/>
      <c r="E62" s="348"/>
      <c r="F62" s="348"/>
      <c r="G62" s="348"/>
      <c r="H62" s="348"/>
      <c r="I62" s="348"/>
      <c r="J62" s="348"/>
      <c r="K62" s="349"/>
    </row>
    <row r="63" spans="3:11" s="45" customFormat="1">
      <c r="D63" s="350"/>
      <c r="E63" s="351"/>
      <c r="F63" s="351"/>
      <c r="G63" s="351"/>
      <c r="H63" s="351"/>
      <c r="I63" s="351"/>
      <c r="J63" s="351"/>
      <c r="K63" s="352"/>
    </row>
    <row r="64" spans="3:11" s="45" customFormat="1">
      <c r="C64" s="51"/>
      <c r="D64" s="50"/>
      <c r="E64" s="50"/>
      <c r="F64" s="50"/>
      <c r="G64" s="50"/>
      <c r="H64" s="50"/>
      <c r="I64" s="50"/>
      <c r="J64" s="50"/>
      <c r="K64" s="50"/>
    </row>
    <row r="65" spans="3:11" s="45" customFormat="1">
      <c r="C65" s="51"/>
      <c r="D65" s="50"/>
      <c r="E65" s="50"/>
      <c r="F65" s="50"/>
      <c r="G65" s="50"/>
      <c r="H65" s="50"/>
      <c r="I65" s="50"/>
      <c r="J65" s="50"/>
      <c r="K65" s="50"/>
    </row>
    <row r="66" spans="3:11" s="45" customFormat="1">
      <c r="C66" s="51"/>
      <c r="D66" s="50"/>
      <c r="E66" s="50"/>
      <c r="F66" s="50"/>
      <c r="G66" s="50"/>
      <c r="H66" s="50"/>
      <c r="I66" s="50"/>
      <c r="J66" s="50"/>
      <c r="K66" s="50"/>
    </row>
    <row r="67" spans="3:11" s="45" customFormat="1">
      <c r="C67" s="51"/>
      <c r="D67" s="50"/>
      <c r="E67" s="50"/>
      <c r="F67" s="50"/>
      <c r="G67" s="50"/>
      <c r="H67" s="50"/>
      <c r="I67" s="50"/>
      <c r="J67" s="50"/>
      <c r="K67" s="50"/>
    </row>
    <row r="68" spans="3:11" s="45" customFormat="1">
      <c r="C68" s="51"/>
      <c r="D68" s="50"/>
      <c r="E68" s="50"/>
      <c r="F68" s="50"/>
      <c r="G68" s="50"/>
      <c r="H68" s="50"/>
      <c r="I68" s="50"/>
      <c r="J68" s="50"/>
      <c r="K68" s="50"/>
    </row>
    <row r="69" spans="3:11" s="45" customFormat="1">
      <c r="C69" s="51"/>
      <c r="D69" s="50"/>
      <c r="E69" s="50"/>
      <c r="F69" s="50"/>
      <c r="G69" s="50"/>
      <c r="H69" s="50"/>
      <c r="I69" s="50"/>
      <c r="J69" s="50"/>
      <c r="K69" s="50"/>
    </row>
    <row r="70" spans="3:11" s="45" customFormat="1">
      <c r="C70" s="51"/>
      <c r="D70" s="50"/>
      <c r="E70" s="50"/>
      <c r="F70" s="50"/>
      <c r="G70" s="50"/>
      <c r="H70" s="50"/>
      <c r="I70" s="50"/>
      <c r="J70" s="50"/>
      <c r="K70" s="50"/>
    </row>
    <row r="71" spans="3:11" s="45" customFormat="1">
      <c r="C71" s="51"/>
      <c r="D71" s="50"/>
      <c r="E71" s="50"/>
      <c r="F71" s="50"/>
      <c r="G71" s="50"/>
      <c r="H71" s="50"/>
      <c r="I71" s="50"/>
      <c r="J71" s="50"/>
      <c r="K71" s="50"/>
    </row>
    <row r="72" spans="3:11" s="45" customFormat="1">
      <c r="C72" s="51"/>
      <c r="D72" s="50"/>
      <c r="E72" s="50"/>
      <c r="F72" s="50"/>
      <c r="G72" s="50"/>
      <c r="H72" s="50"/>
      <c r="I72" s="50"/>
      <c r="J72" s="50"/>
      <c r="K72" s="50"/>
    </row>
    <row r="73" spans="3:11" s="45" customFormat="1">
      <c r="C73" s="51"/>
      <c r="D73" s="50"/>
      <c r="E73" s="50"/>
      <c r="F73" s="50"/>
      <c r="G73" s="50"/>
      <c r="H73" s="50"/>
      <c r="I73" s="50"/>
      <c r="J73" s="50"/>
      <c r="K73" s="50"/>
    </row>
    <row r="74" spans="3:11" s="45" customFormat="1">
      <c r="C74" s="51"/>
      <c r="D74" s="50"/>
      <c r="E74" s="50"/>
      <c r="F74" s="50"/>
      <c r="G74" s="50"/>
      <c r="H74" s="50"/>
      <c r="I74" s="50"/>
      <c r="J74" s="50"/>
      <c r="K74" s="50"/>
    </row>
    <row r="75" spans="3:11" s="45" customFormat="1">
      <c r="C75" s="51"/>
      <c r="D75" s="50"/>
      <c r="E75" s="50"/>
      <c r="F75" s="50"/>
      <c r="G75" s="50"/>
      <c r="H75" s="50"/>
      <c r="I75" s="50"/>
      <c r="J75" s="50"/>
      <c r="K75" s="50"/>
    </row>
    <row r="76" spans="3:11" s="45" customFormat="1">
      <c r="C76" s="51"/>
      <c r="D76" s="50"/>
      <c r="E76" s="50"/>
      <c r="F76" s="50"/>
      <c r="G76" s="50"/>
      <c r="H76" s="50"/>
      <c r="I76" s="50"/>
      <c r="J76" s="50"/>
      <c r="K76" s="50"/>
    </row>
    <row r="77" spans="3:11" s="45" customFormat="1">
      <c r="C77" s="51"/>
      <c r="D77" s="50"/>
      <c r="E77" s="50"/>
      <c r="F77" s="50"/>
      <c r="G77" s="50"/>
      <c r="H77" s="50"/>
      <c r="I77" s="50"/>
      <c r="J77" s="50"/>
      <c r="K77" s="50"/>
    </row>
    <row r="78" spans="3:11" s="45" customFormat="1">
      <c r="C78" s="51"/>
      <c r="D78" s="50"/>
      <c r="E78" s="50"/>
      <c r="F78" s="50"/>
      <c r="G78" s="50"/>
      <c r="H78" s="50"/>
      <c r="I78" s="50"/>
      <c r="J78" s="50"/>
      <c r="K78" s="50"/>
    </row>
    <row r="79" spans="3:11" s="45" customFormat="1">
      <c r="C79" s="51"/>
      <c r="D79" s="50"/>
      <c r="E79" s="50"/>
      <c r="F79" s="50"/>
      <c r="G79" s="50"/>
      <c r="H79" s="50"/>
      <c r="I79" s="50"/>
      <c r="J79" s="50"/>
      <c r="K79" s="50"/>
    </row>
    <row r="80" spans="3:11" s="45" customFormat="1">
      <c r="D80" s="50"/>
      <c r="E80" s="50"/>
      <c r="F80" s="50"/>
      <c r="G80" s="50"/>
      <c r="H80" s="50"/>
      <c r="I80" s="50"/>
      <c r="J80" s="50"/>
      <c r="K80" s="50"/>
    </row>
    <row r="81" spans="4:11" s="45" customFormat="1">
      <c r="D81" s="50"/>
      <c r="E81" s="50"/>
      <c r="F81" s="50"/>
      <c r="G81" s="50"/>
      <c r="H81" s="50"/>
      <c r="I81" s="50"/>
      <c r="J81" s="50"/>
      <c r="K81" s="50"/>
    </row>
    <row r="82" spans="4:11" s="45" customFormat="1">
      <c r="D82" s="50"/>
      <c r="E82" s="50"/>
      <c r="F82" s="50"/>
      <c r="G82" s="50"/>
      <c r="H82" s="50"/>
      <c r="I82" s="50"/>
      <c r="J82" s="50"/>
      <c r="K82" s="50"/>
    </row>
    <row r="83" spans="4:11" s="45" customFormat="1">
      <c r="D83" s="50"/>
      <c r="E83" s="50"/>
      <c r="F83" s="50"/>
      <c r="G83" s="50"/>
      <c r="H83" s="50"/>
      <c r="I83" s="50"/>
      <c r="J83" s="50"/>
      <c r="K83" s="50"/>
    </row>
    <row r="84" spans="4:11" s="45" customFormat="1">
      <c r="D84" s="50"/>
      <c r="E84" s="50"/>
      <c r="F84" s="50"/>
      <c r="G84" s="50"/>
      <c r="H84" s="50"/>
      <c r="I84" s="50"/>
      <c r="J84" s="50"/>
      <c r="K84" s="50"/>
    </row>
    <row r="85" spans="4:11" s="45" customFormat="1">
      <c r="D85" s="50"/>
      <c r="E85" s="50"/>
      <c r="F85" s="50"/>
      <c r="G85" s="50"/>
      <c r="H85" s="50"/>
      <c r="I85" s="50"/>
      <c r="J85" s="50"/>
      <c r="K85" s="50"/>
    </row>
    <row r="86" spans="4:11" s="45" customFormat="1">
      <c r="D86" s="50"/>
      <c r="E86" s="50"/>
      <c r="F86" s="50"/>
      <c r="G86" s="50"/>
      <c r="H86" s="50"/>
      <c r="I86" s="50"/>
      <c r="J86" s="50"/>
      <c r="K86" s="50"/>
    </row>
    <row r="87" spans="4:11" s="45" customFormat="1">
      <c r="D87" s="50"/>
      <c r="E87" s="50"/>
      <c r="F87" s="50"/>
      <c r="G87" s="50"/>
      <c r="H87" s="50"/>
      <c r="I87" s="50"/>
      <c r="J87" s="50"/>
      <c r="K87" s="50"/>
    </row>
    <row r="88" spans="4:11" s="45" customFormat="1">
      <c r="D88" s="50"/>
      <c r="E88" s="50"/>
      <c r="F88" s="50"/>
      <c r="G88" s="50"/>
      <c r="H88" s="50"/>
      <c r="I88" s="50"/>
      <c r="J88" s="50"/>
      <c r="K88" s="50"/>
    </row>
    <row r="89" spans="4:11" s="45" customFormat="1">
      <c r="D89" s="50"/>
      <c r="E89" s="50"/>
      <c r="F89" s="50"/>
      <c r="G89" s="50"/>
      <c r="H89" s="50"/>
      <c r="I89" s="50"/>
      <c r="J89" s="50"/>
      <c r="K89" s="50"/>
    </row>
    <row r="90" spans="4:11" s="45" customFormat="1">
      <c r="D90" s="50"/>
      <c r="E90" s="50"/>
      <c r="F90" s="50"/>
      <c r="G90" s="50"/>
      <c r="H90" s="50"/>
      <c r="I90" s="50"/>
      <c r="J90" s="50"/>
      <c r="K90" s="50"/>
    </row>
    <row r="91" spans="4:11" s="45" customFormat="1">
      <c r="D91" s="50"/>
      <c r="E91" s="50"/>
      <c r="F91" s="50"/>
      <c r="G91" s="50"/>
      <c r="H91" s="50"/>
      <c r="I91" s="50"/>
      <c r="J91" s="50"/>
      <c r="K91" s="50"/>
    </row>
    <row r="92" spans="4:11" s="45" customFormat="1">
      <c r="D92" s="50"/>
      <c r="E92" s="50"/>
      <c r="F92" s="50"/>
      <c r="G92" s="50"/>
      <c r="H92" s="50"/>
      <c r="I92" s="50"/>
      <c r="J92" s="50"/>
      <c r="K92" s="50"/>
    </row>
    <row r="93" spans="4:11" s="45" customFormat="1">
      <c r="D93" s="50"/>
      <c r="E93" s="50"/>
      <c r="F93" s="50"/>
      <c r="G93" s="50"/>
      <c r="H93" s="50"/>
      <c r="I93" s="50"/>
      <c r="J93" s="50"/>
      <c r="K93" s="50"/>
    </row>
    <row r="94" spans="4:11" s="45" customFormat="1">
      <c r="D94" s="50"/>
      <c r="E94" s="50"/>
      <c r="F94" s="50"/>
      <c r="G94" s="50"/>
      <c r="H94" s="50"/>
      <c r="I94" s="50"/>
      <c r="J94" s="50"/>
      <c r="K94" s="50"/>
    </row>
    <row r="95" spans="4:11" s="45" customFormat="1">
      <c r="D95" s="50"/>
      <c r="E95" s="50"/>
      <c r="F95" s="50"/>
      <c r="G95" s="50"/>
      <c r="H95" s="50"/>
      <c r="I95" s="50"/>
      <c r="J95" s="50"/>
      <c r="K95" s="50"/>
    </row>
    <row r="96" spans="4:11" s="45" customFormat="1">
      <c r="D96" s="50"/>
      <c r="E96" s="50"/>
      <c r="F96" s="50"/>
      <c r="G96" s="50"/>
      <c r="H96" s="50"/>
      <c r="I96" s="50"/>
      <c r="J96" s="50"/>
      <c r="K96" s="50"/>
    </row>
    <row r="97" spans="4:11" s="45" customFormat="1">
      <c r="D97" s="50"/>
      <c r="E97" s="50"/>
      <c r="F97" s="50"/>
      <c r="G97" s="50"/>
      <c r="H97" s="50"/>
      <c r="I97" s="50"/>
      <c r="J97" s="50"/>
      <c r="K97" s="50"/>
    </row>
    <row r="98" spans="4:11" s="45" customFormat="1">
      <c r="D98" s="50"/>
      <c r="E98" s="50"/>
      <c r="F98" s="50"/>
      <c r="G98" s="50"/>
      <c r="H98" s="50"/>
      <c r="I98" s="50"/>
      <c r="J98" s="50"/>
      <c r="K98" s="50"/>
    </row>
    <row r="99" spans="4:11" s="45" customFormat="1">
      <c r="D99" s="50"/>
      <c r="E99" s="50"/>
      <c r="F99" s="50"/>
      <c r="G99" s="50"/>
      <c r="H99" s="50"/>
      <c r="I99" s="50"/>
      <c r="J99" s="50"/>
      <c r="K99" s="50"/>
    </row>
    <row r="100" spans="4:11" s="45" customFormat="1">
      <c r="D100" s="50"/>
      <c r="E100" s="50"/>
      <c r="F100" s="50"/>
      <c r="G100" s="50"/>
      <c r="H100" s="50"/>
      <c r="I100" s="50"/>
      <c r="J100" s="50"/>
      <c r="K100" s="50"/>
    </row>
    <row r="101" spans="4:11" s="45" customFormat="1">
      <c r="D101" s="50"/>
      <c r="E101" s="50"/>
      <c r="F101" s="50"/>
      <c r="G101" s="50"/>
      <c r="H101" s="50"/>
      <c r="I101" s="50"/>
      <c r="J101" s="50"/>
      <c r="K101" s="50"/>
    </row>
    <row r="102" spans="4:11" s="45" customFormat="1">
      <c r="D102" s="50"/>
      <c r="E102" s="50"/>
      <c r="F102" s="50"/>
      <c r="G102" s="50"/>
      <c r="H102" s="50"/>
      <c r="I102" s="50"/>
      <c r="J102" s="50"/>
      <c r="K102" s="50"/>
    </row>
    <row r="103" spans="4:11" s="45" customFormat="1">
      <c r="D103" s="50"/>
      <c r="E103" s="50"/>
      <c r="F103" s="50"/>
      <c r="G103" s="50"/>
      <c r="H103" s="50"/>
      <c r="I103" s="50"/>
      <c r="J103" s="50"/>
      <c r="K103" s="50"/>
    </row>
    <row r="104" spans="4:11" s="45" customFormat="1">
      <c r="D104" s="50"/>
      <c r="E104" s="50"/>
      <c r="F104" s="50"/>
      <c r="G104" s="50"/>
      <c r="H104" s="50"/>
      <c r="I104" s="50"/>
      <c r="J104" s="50"/>
      <c r="K104" s="50"/>
    </row>
    <row r="105" spans="4:11" s="45" customFormat="1">
      <c r="D105" s="50"/>
      <c r="E105" s="50"/>
      <c r="F105" s="50"/>
      <c r="G105" s="50"/>
      <c r="H105" s="50"/>
      <c r="I105" s="50"/>
      <c r="J105" s="50"/>
      <c r="K105" s="50"/>
    </row>
    <row r="106" spans="4:11" s="45" customFormat="1">
      <c r="D106" s="50"/>
      <c r="E106" s="50"/>
      <c r="F106" s="50"/>
      <c r="G106" s="50"/>
      <c r="H106" s="50"/>
      <c r="I106" s="50"/>
      <c r="J106" s="50"/>
      <c r="K106" s="50"/>
    </row>
    <row r="107" spans="4:11" s="45" customFormat="1">
      <c r="D107" s="50"/>
      <c r="E107" s="50"/>
      <c r="F107" s="50"/>
      <c r="G107" s="50"/>
      <c r="H107" s="50"/>
      <c r="I107" s="50"/>
      <c r="J107" s="50"/>
      <c r="K107" s="50"/>
    </row>
    <row r="108" spans="4:11" s="45" customFormat="1">
      <c r="D108" s="50"/>
      <c r="E108" s="50"/>
      <c r="F108" s="50"/>
      <c r="G108" s="50"/>
      <c r="H108" s="50"/>
      <c r="I108" s="50"/>
      <c r="J108" s="50"/>
      <c r="K108" s="50"/>
    </row>
    <row r="109" spans="4:11" s="45" customFormat="1">
      <c r="D109" s="50"/>
      <c r="E109" s="50"/>
      <c r="F109" s="50"/>
      <c r="G109" s="50"/>
      <c r="H109" s="50"/>
      <c r="I109" s="50"/>
      <c r="J109" s="50"/>
      <c r="K109" s="50"/>
    </row>
    <row r="110" spans="4:11" s="45" customFormat="1">
      <c r="D110" s="50"/>
      <c r="E110" s="50"/>
      <c r="F110" s="50"/>
      <c r="G110" s="50"/>
      <c r="H110" s="50"/>
      <c r="I110" s="50"/>
      <c r="J110" s="50"/>
      <c r="K110" s="50"/>
    </row>
    <row r="111" spans="4:11" s="45" customFormat="1">
      <c r="D111" s="50"/>
      <c r="E111" s="50"/>
      <c r="F111" s="50"/>
      <c r="G111" s="50"/>
      <c r="H111" s="50"/>
      <c r="I111" s="50"/>
      <c r="J111" s="50"/>
      <c r="K111" s="50"/>
    </row>
    <row r="112" spans="4:11" s="45" customFormat="1">
      <c r="D112" s="50"/>
      <c r="E112" s="50"/>
      <c r="F112" s="50"/>
      <c r="G112" s="50"/>
      <c r="H112" s="50"/>
      <c r="I112" s="50"/>
      <c r="J112" s="50"/>
      <c r="K112" s="50"/>
    </row>
    <row r="113" spans="4:11" s="45" customFormat="1">
      <c r="D113" s="50"/>
      <c r="E113" s="50"/>
      <c r="F113" s="50"/>
      <c r="G113" s="50"/>
      <c r="H113" s="50"/>
      <c r="I113" s="50"/>
      <c r="J113" s="50"/>
      <c r="K113" s="50"/>
    </row>
    <row r="114" spans="4:11" s="45" customFormat="1">
      <c r="D114" s="50"/>
      <c r="E114" s="50"/>
      <c r="F114" s="50"/>
      <c r="G114" s="50"/>
      <c r="H114" s="50"/>
      <c r="I114" s="50"/>
      <c r="J114" s="50"/>
      <c r="K114" s="50"/>
    </row>
    <row r="115" spans="4:11" s="45" customFormat="1">
      <c r="D115" s="50"/>
      <c r="E115" s="50"/>
      <c r="F115" s="50"/>
      <c r="G115" s="50"/>
      <c r="H115" s="50"/>
      <c r="I115" s="50"/>
      <c r="J115" s="50"/>
      <c r="K115" s="50"/>
    </row>
    <row r="116" spans="4:11" s="45" customFormat="1">
      <c r="D116" s="50"/>
      <c r="E116" s="50"/>
      <c r="F116" s="50"/>
      <c r="G116" s="50"/>
      <c r="H116" s="50"/>
      <c r="I116" s="50"/>
      <c r="J116" s="50"/>
      <c r="K116" s="50"/>
    </row>
    <row r="117" spans="4:11" s="45" customFormat="1">
      <c r="D117" s="50"/>
      <c r="E117" s="50"/>
      <c r="F117" s="50"/>
      <c r="G117" s="50"/>
      <c r="H117" s="50"/>
      <c r="I117" s="50"/>
      <c r="J117" s="50"/>
      <c r="K117" s="50"/>
    </row>
    <row r="118" spans="4:11" s="45" customFormat="1">
      <c r="D118" s="50"/>
      <c r="E118" s="50"/>
      <c r="F118" s="50"/>
      <c r="G118" s="50"/>
      <c r="H118" s="50"/>
      <c r="I118" s="50"/>
      <c r="J118" s="50"/>
      <c r="K118" s="50"/>
    </row>
    <row r="119" spans="4:11" s="45" customFormat="1">
      <c r="D119" s="50"/>
      <c r="E119" s="50"/>
      <c r="F119" s="50"/>
      <c r="G119" s="50"/>
      <c r="H119" s="50"/>
      <c r="I119" s="50"/>
      <c r="J119" s="50"/>
      <c r="K119" s="50"/>
    </row>
    <row r="120" spans="4:11" s="45" customFormat="1">
      <c r="D120" s="50"/>
      <c r="E120" s="50"/>
      <c r="F120" s="50"/>
      <c r="G120" s="50"/>
      <c r="H120" s="50"/>
      <c r="I120" s="50"/>
      <c r="J120" s="50"/>
      <c r="K120" s="50"/>
    </row>
    <row r="121" spans="4:11" s="45" customFormat="1">
      <c r="D121" s="50"/>
      <c r="E121" s="50"/>
      <c r="F121" s="50"/>
      <c r="G121" s="50"/>
      <c r="H121" s="50"/>
      <c r="I121" s="50"/>
      <c r="J121" s="50"/>
      <c r="K121" s="50"/>
    </row>
    <row r="122" spans="4:11" s="45" customFormat="1">
      <c r="D122" s="50"/>
      <c r="E122" s="50"/>
      <c r="F122" s="50"/>
      <c r="G122" s="50"/>
      <c r="H122" s="50"/>
      <c r="I122" s="50"/>
      <c r="J122" s="50"/>
      <c r="K122" s="50"/>
    </row>
    <row r="123" spans="4:11" s="45" customFormat="1">
      <c r="D123" s="50"/>
      <c r="E123" s="50"/>
      <c r="F123" s="50"/>
      <c r="G123" s="50"/>
      <c r="H123" s="50"/>
      <c r="I123" s="50"/>
      <c r="J123" s="50"/>
      <c r="K123" s="50"/>
    </row>
    <row r="124" spans="4:11" s="45" customFormat="1">
      <c r="D124" s="50"/>
      <c r="E124" s="50"/>
      <c r="F124" s="50"/>
      <c r="G124" s="50"/>
      <c r="H124" s="50"/>
      <c r="I124" s="50"/>
      <c r="J124" s="50"/>
      <c r="K124" s="50"/>
    </row>
    <row r="125" spans="4:11" s="45" customFormat="1">
      <c r="D125" s="50"/>
      <c r="E125" s="50"/>
      <c r="F125" s="50"/>
      <c r="G125" s="50"/>
      <c r="H125" s="50"/>
      <c r="I125" s="50"/>
      <c r="J125" s="50"/>
      <c r="K125" s="50"/>
    </row>
    <row r="126" spans="4:11" s="45" customFormat="1">
      <c r="D126" s="50"/>
      <c r="E126" s="50"/>
      <c r="F126" s="50"/>
      <c r="G126" s="50"/>
      <c r="H126" s="50"/>
      <c r="I126" s="50"/>
      <c r="J126" s="50"/>
      <c r="K126" s="50"/>
    </row>
    <row r="127" spans="4:11" s="45" customFormat="1">
      <c r="D127" s="50"/>
      <c r="E127" s="50"/>
      <c r="F127" s="50"/>
      <c r="G127" s="50"/>
      <c r="H127" s="50"/>
      <c r="I127" s="50"/>
      <c r="J127" s="50"/>
      <c r="K127" s="50"/>
    </row>
    <row r="128" spans="4:11" s="45" customFormat="1">
      <c r="D128" s="50"/>
      <c r="E128" s="50"/>
      <c r="F128" s="50"/>
      <c r="G128" s="50"/>
      <c r="H128" s="50"/>
      <c r="I128" s="50"/>
      <c r="J128" s="50"/>
      <c r="K128" s="50"/>
    </row>
    <row r="129" spans="4:11" s="45" customFormat="1">
      <c r="D129" s="50"/>
      <c r="E129" s="50"/>
      <c r="F129" s="50"/>
      <c r="G129" s="50"/>
      <c r="H129" s="50"/>
      <c r="I129" s="50"/>
      <c r="J129" s="50"/>
      <c r="K129" s="50"/>
    </row>
    <row r="130" spans="4:11" s="45" customFormat="1">
      <c r="D130" s="50"/>
      <c r="E130" s="50"/>
      <c r="F130" s="50"/>
      <c r="G130" s="50"/>
      <c r="H130" s="50"/>
      <c r="I130" s="50"/>
      <c r="J130" s="50"/>
      <c r="K130" s="50"/>
    </row>
    <row r="131" spans="4:11" s="45" customFormat="1">
      <c r="D131" s="50"/>
      <c r="E131" s="50"/>
      <c r="F131" s="50"/>
      <c r="G131" s="50"/>
      <c r="H131" s="50"/>
      <c r="I131" s="50"/>
      <c r="J131" s="50"/>
      <c r="K131" s="50"/>
    </row>
    <row r="132" spans="4:11" s="45" customFormat="1">
      <c r="D132" s="50"/>
      <c r="E132" s="50"/>
      <c r="F132" s="50"/>
      <c r="G132" s="50"/>
      <c r="H132" s="50"/>
      <c r="I132" s="50"/>
      <c r="J132" s="50"/>
      <c r="K132" s="50"/>
    </row>
    <row r="133" spans="4:11" s="45" customFormat="1">
      <c r="D133" s="50"/>
      <c r="E133" s="50"/>
      <c r="F133" s="50"/>
      <c r="G133" s="50"/>
      <c r="H133" s="50"/>
      <c r="I133" s="50"/>
      <c r="J133" s="50"/>
      <c r="K133" s="50"/>
    </row>
    <row r="134" spans="4:11" s="45" customFormat="1">
      <c r="D134" s="50"/>
      <c r="E134" s="50"/>
      <c r="F134" s="50"/>
      <c r="G134" s="50"/>
      <c r="H134" s="50"/>
      <c r="I134" s="50"/>
      <c r="J134" s="50"/>
      <c r="K134" s="50"/>
    </row>
    <row r="135" spans="4:11" s="45" customFormat="1">
      <c r="D135" s="50"/>
      <c r="E135" s="50"/>
      <c r="F135" s="50"/>
      <c r="G135" s="50"/>
      <c r="H135" s="50"/>
      <c r="I135" s="50"/>
      <c r="J135" s="50"/>
      <c r="K135" s="50"/>
    </row>
    <row r="136" spans="4:11" s="45" customFormat="1">
      <c r="D136" s="50"/>
      <c r="E136" s="50"/>
      <c r="F136" s="50"/>
      <c r="G136" s="50"/>
      <c r="H136" s="50"/>
      <c r="I136" s="50"/>
      <c r="J136" s="50"/>
      <c r="K136" s="50"/>
    </row>
    <row r="137" spans="4:11" s="45" customFormat="1">
      <c r="D137" s="50"/>
      <c r="E137" s="50"/>
      <c r="F137" s="50"/>
      <c r="G137" s="50"/>
      <c r="H137" s="50"/>
      <c r="I137" s="50"/>
      <c r="J137" s="50"/>
      <c r="K137" s="50"/>
    </row>
    <row r="138" spans="4:11" s="45" customFormat="1">
      <c r="D138" s="50"/>
      <c r="E138" s="50"/>
      <c r="F138" s="50"/>
      <c r="G138" s="50"/>
      <c r="H138" s="50"/>
      <c r="I138" s="50"/>
      <c r="J138" s="50"/>
      <c r="K138" s="50"/>
    </row>
    <row r="139" spans="4:11" s="45" customFormat="1">
      <c r="D139" s="52"/>
      <c r="E139" s="53"/>
      <c r="F139" s="53"/>
      <c r="G139" s="286"/>
      <c r="H139" s="286"/>
      <c r="I139" s="286"/>
      <c r="J139" s="81"/>
      <c r="K139" s="54"/>
    </row>
    <row r="140" spans="4:11" s="45" customFormat="1">
      <c r="D140" s="52"/>
      <c r="E140" s="53"/>
      <c r="F140" s="53"/>
      <c r="G140" s="286"/>
      <c r="H140" s="286"/>
      <c r="I140" s="286"/>
      <c r="J140" s="81"/>
      <c r="K140" s="54"/>
    </row>
    <row r="141" spans="4:11" s="45" customFormat="1">
      <c r="D141" s="52"/>
      <c r="E141" s="53"/>
      <c r="F141" s="53"/>
      <c r="G141" s="286"/>
      <c r="H141" s="286"/>
      <c r="I141" s="286"/>
      <c r="J141" s="81"/>
      <c r="K141" s="54"/>
    </row>
    <row r="142" spans="4:11" s="45" customFormat="1">
      <c r="D142" s="52"/>
      <c r="E142" s="53"/>
      <c r="F142" s="53"/>
      <c r="G142" s="286"/>
      <c r="H142" s="286"/>
      <c r="I142" s="286"/>
      <c r="J142" s="81"/>
      <c r="K142" s="54"/>
    </row>
    <row r="143" spans="4:11" s="45" customFormat="1">
      <c r="D143" s="52"/>
      <c r="E143" s="53"/>
      <c r="F143" s="53"/>
      <c r="G143" s="286"/>
      <c r="H143" s="286"/>
      <c r="I143" s="286"/>
      <c r="J143" s="81"/>
      <c r="K143" s="54"/>
    </row>
    <row r="144" spans="4:11" s="45" customFormat="1">
      <c r="D144" s="52"/>
      <c r="E144" s="53"/>
      <c r="F144" s="53"/>
      <c r="G144" s="286"/>
      <c r="H144" s="286"/>
      <c r="I144" s="286"/>
      <c r="J144" s="81"/>
      <c r="K144" s="54"/>
    </row>
    <row r="145" spans="4:11" s="45" customFormat="1">
      <c r="D145" s="52"/>
      <c r="E145" s="53"/>
      <c r="F145" s="53"/>
      <c r="G145" s="286"/>
      <c r="H145" s="286"/>
      <c r="I145" s="286"/>
      <c r="J145" s="81"/>
      <c r="K145" s="54"/>
    </row>
    <row r="146" spans="4:11" s="45" customFormat="1">
      <c r="D146" s="52"/>
      <c r="E146" s="53"/>
      <c r="F146" s="53"/>
      <c r="G146" s="286"/>
      <c r="H146" s="286"/>
      <c r="I146" s="286"/>
      <c r="J146" s="81"/>
      <c r="K146" s="54"/>
    </row>
    <row r="147" spans="4:11" s="45" customFormat="1">
      <c r="D147" s="52"/>
      <c r="E147" s="53"/>
      <c r="F147" s="53"/>
      <c r="G147" s="286"/>
      <c r="H147" s="286"/>
      <c r="I147" s="286"/>
      <c r="J147" s="81"/>
      <c r="K147" s="54"/>
    </row>
    <row r="148" spans="4:11" s="45" customFormat="1">
      <c r="D148" s="52"/>
      <c r="E148" s="53"/>
      <c r="F148" s="53"/>
      <c r="G148" s="286"/>
      <c r="H148" s="286"/>
      <c r="I148" s="286"/>
      <c r="J148" s="81"/>
      <c r="K148" s="54"/>
    </row>
    <row r="149" spans="4:11" s="45" customFormat="1">
      <c r="D149" s="52"/>
      <c r="E149" s="53"/>
      <c r="F149" s="53"/>
      <c r="G149" s="286"/>
      <c r="H149" s="286"/>
      <c r="I149" s="286"/>
      <c r="J149" s="81"/>
      <c r="K149" s="54"/>
    </row>
    <row r="150" spans="4:11" s="45" customFormat="1">
      <c r="D150" s="52"/>
      <c r="E150" s="53"/>
      <c r="F150" s="53"/>
      <c r="G150" s="286"/>
      <c r="H150" s="286"/>
      <c r="I150" s="286"/>
      <c r="J150" s="81"/>
      <c r="K150" s="54"/>
    </row>
    <row r="151" spans="4:11" s="45" customFormat="1">
      <c r="D151" s="52"/>
      <c r="E151" s="53"/>
      <c r="F151" s="53"/>
      <c r="G151" s="286"/>
      <c r="H151" s="286"/>
      <c r="I151" s="286"/>
      <c r="J151" s="81"/>
      <c r="K151" s="54"/>
    </row>
    <row r="152" spans="4:11" s="45" customFormat="1">
      <c r="D152" s="52"/>
      <c r="E152" s="53"/>
      <c r="F152" s="53"/>
      <c r="G152" s="286"/>
      <c r="H152" s="286"/>
      <c r="I152" s="286"/>
      <c r="J152" s="81"/>
      <c r="K152" s="54"/>
    </row>
    <row r="153" spans="4:11" s="45" customFormat="1">
      <c r="D153" s="52"/>
      <c r="E153" s="53"/>
      <c r="F153" s="53"/>
      <c r="G153" s="286"/>
      <c r="H153" s="286"/>
      <c r="I153" s="286"/>
      <c r="J153" s="81"/>
      <c r="K153" s="54"/>
    </row>
    <row r="154" spans="4:11" s="45" customFormat="1">
      <c r="D154" s="52"/>
      <c r="E154" s="53"/>
      <c r="F154" s="53"/>
      <c r="G154" s="286"/>
      <c r="H154" s="286"/>
      <c r="I154" s="286"/>
      <c r="J154" s="81"/>
      <c r="K154" s="54"/>
    </row>
    <row r="155" spans="4:11" s="45" customFormat="1">
      <c r="D155" s="52"/>
      <c r="E155" s="53"/>
      <c r="F155" s="53"/>
      <c r="G155" s="286"/>
      <c r="H155" s="286"/>
      <c r="I155" s="286"/>
      <c r="J155" s="81"/>
      <c r="K155" s="54"/>
    </row>
    <row r="156" spans="4:11" s="45" customFormat="1">
      <c r="D156" s="52"/>
      <c r="E156" s="53"/>
      <c r="F156" s="53"/>
      <c r="G156" s="286"/>
      <c r="H156" s="286"/>
      <c r="I156" s="286"/>
      <c r="J156" s="81"/>
      <c r="K156" s="54"/>
    </row>
    <row r="157" spans="4:11" s="45" customFormat="1">
      <c r="D157" s="52"/>
      <c r="E157" s="53"/>
      <c r="F157" s="53"/>
      <c r="G157" s="286"/>
      <c r="H157" s="286"/>
      <c r="I157" s="286"/>
      <c r="J157" s="81"/>
      <c r="K157" s="54"/>
    </row>
    <row r="158" spans="4:11" s="45" customFormat="1">
      <c r="D158" s="52"/>
      <c r="E158" s="53"/>
      <c r="F158" s="53"/>
      <c r="G158" s="286"/>
      <c r="H158" s="286"/>
      <c r="I158" s="286"/>
      <c r="J158" s="81"/>
      <c r="K158" s="54"/>
    </row>
    <row r="159" spans="4:11" s="45" customFormat="1">
      <c r="D159" s="52"/>
      <c r="E159" s="53"/>
      <c r="F159" s="53"/>
      <c r="G159" s="286"/>
      <c r="H159" s="286"/>
      <c r="I159" s="286"/>
      <c r="J159" s="81"/>
      <c r="K159" s="54"/>
    </row>
    <row r="160" spans="4:11" s="45" customFormat="1">
      <c r="D160" s="52"/>
      <c r="E160" s="53"/>
      <c r="F160" s="53"/>
      <c r="G160" s="286"/>
      <c r="H160" s="286"/>
      <c r="I160" s="286"/>
      <c r="J160" s="81"/>
      <c r="K160" s="54"/>
    </row>
    <row r="161" spans="4:11" s="45" customFormat="1">
      <c r="D161" s="52"/>
      <c r="E161" s="53"/>
      <c r="F161" s="53"/>
      <c r="G161" s="286"/>
      <c r="H161" s="286"/>
      <c r="I161" s="286"/>
      <c r="J161" s="81"/>
      <c r="K161" s="54"/>
    </row>
    <row r="162" spans="4:11" s="45" customFormat="1">
      <c r="D162" s="52"/>
      <c r="E162" s="53"/>
      <c r="F162" s="53"/>
      <c r="G162" s="286"/>
      <c r="H162" s="286"/>
      <c r="I162" s="286"/>
      <c r="J162" s="81"/>
      <c r="K162" s="54"/>
    </row>
    <row r="163" spans="4:11" s="45" customFormat="1">
      <c r="D163" s="52"/>
      <c r="E163" s="53"/>
      <c r="F163" s="53"/>
      <c r="G163" s="286"/>
      <c r="H163" s="286"/>
      <c r="I163" s="286"/>
      <c r="J163" s="81"/>
      <c r="K163" s="54"/>
    </row>
    <row r="164" spans="4:11" s="45" customFormat="1">
      <c r="D164" s="52"/>
      <c r="E164" s="53"/>
      <c r="F164" s="53"/>
      <c r="G164" s="286"/>
      <c r="H164" s="286"/>
      <c r="I164" s="286"/>
      <c r="J164" s="81"/>
      <c r="K164" s="54"/>
    </row>
    <row r="165" spans="4:11" s="45" customFormat="1">
      <c r="D165" s="52"/>
      <c r="E165" s="53"/>
      <c r="F165" s="53"/>
      <c r="G165" s="286"/>
      <c r="H165" s="286"/>
      <c r="I165" s="286"/>
      <c r="J165" s="81"/>
      <c r="K165" s="54"/>
    </row>
    <row r="166" spans="4:11" s="45" customFormat="1">
      <c r="D166" s="52"/>
      <c r="E166" s="53"/>
      <c r="F166" s="53"/>
      <c r="G166" s="286"/>
      <c r="H166" s="286"/>
      <c r="I166" s="286"/>
      <c r="J166" s="81"/>
      <c r="K166" s="54"/>
    </row>
    <row r="167" spans="4:11" s="45" customFormat="1">
      <c r="D167" s="52"/>
      <c r="E167" s="53"/>
      <c r="F167" s="53"/>
      <c r="G167" s="286"/>
      <c r="H167" s="286"/>
      <c r="I167" s="286"/>
      <c r="J167" s="81"/>
      <c r="K167" s="54"/>
    </row>
    <row r="168" spans="4:11" s="45" customFormat="1">
      <c r="D168" s="52"/>
      <c r="E168" s="53"/>
      <c r="F168" s="53"/>
      <c r="G168" s="286"/>
      <c r="H168" s="286"/>
      <c r="I168" s="286"/>
      <c r="J168" s="81"/>
      <c r="K168" s="54"/>
    </row>
    <row r="169" spans="4:11" s="45" customFormat="1">
      <c r="D169" s="52"/>
      <c r="E169" s="53"/>
      <c r="F169" s="53"/>
      <c r="G169" s="286"/>
      <c r="H169" s="286"/>
      <c r="I169" s="286"/>
      <c r="J169" s="81"/>
      <c r="K169" s="54"/>
    </row>
    <row r="170" spans="4:11" s="45" customFormat="1">
      <c r="D170" s="52"/>
      <c r="E170" s="53"/>
      <c r="F170" s="53"/>
      <c r="G170" s="286"/>
      <c r="H170" s="286"/>
      <c r="I170" s="286"/>
      <c r="J170" s="81"/>
      <c r="K170" s="54"/>
    </row>
    <row r="171" spans="4:11" s="45" customFormat="1">
      <c r="D171" s="52"/>
      <c r="E171" s="53"/>
      <c r="F171" s="53"/>
      <c r="G171" s="286"/>
      <c r="H171" s="286"/>
      <c r="I171" s="286"/>
      <c r="J171" s="81"/>
      <c r="K171" s="54"/>
    </row>
    <row r="172" spans="4:11" s="45" customFormat="1">
      <c r="D172" s="52"/>
      <c r="E172" s="53"/>
      <c r="F172" s="53"/>
      <c r="G172" s="286"/>
      <c r="H172" s="286"/>
      <c r="I172" s="286"/>
      <c r="J172" s="81"/>
      <c r="K172" s="54"/>
    </row>
    <row r="173" spans="4:11" s="45" customFormat="1">
      <c r="D173" s="52"/>
      <c r="E173" s="53"/>
      <c r="F173" s="53"/>
      <c r="G173" s="286"/>
      <c r="H173" s="286"/>
      <c r="I173" s="286"/>
      <c r="J173" s="81"/>
      <c r="K173" s="54"/>
    </row>
    <row r="174" spans="4:11" s="45" customFormat="1">
      <c r="D174" s="52"/>
      <c r="E174" s="53"/>
      <c r="F174" s="53"/>
      <c r="G174" s="286"/>
      <c r="H174" s="286"/>
      <c r="I174" s="286"/>
      <c r="J174" s="81"/>
      <c r="K174" s="54"/>
    </row>
    <row r="175" spans="4:11" s="45" customFormat="1">
      <c r="D175" s="52"/>
      <c r="E175" s="53"/>
      <c r="F175" s="53"/>
      <c r="G175" s="286"/>
      <c r="H175" s="286"/>
      <c r="I175" s="286"/>
      <c r="J175" s="81"/>
      <c r="K175" s="54"/>
    </row>
    <row r="176" spans="4:11" s="45" customFormat="1">
      <c r="D176" s="52"/>
      <c r="E176" s="53"/>
      <c r="F176" s="53"/>
      <c r="G176" s="286"/>
      <c r="H176" s="286"/>
      <c r="I176" s="286"/>
      <c r="J176" s="81"/>
      <c r="K176" s="54"/>
    </row>
    <row r="177" spans="4:11" s="45" customFormat="1">
      <c r="D177" s="52"/>
      <c r="E177" s="53"/>
      <c r="F177" s="53"/>
      <c r="G177" s="286"/>
      <c r="H177" s="286"/>
      <c r="I177" s="286"/>
      <c r="J177" s="81"/>
      <c r="K177" s="54"/>
    </row>
    <row r="178" spans="4:11" s="45" customFormat="1">
      <c r="D178" s="52"/>
      <c r="E178" s="53"/>
      <c r="F178" s="53"/>
      <c r="G178" s="286"/>
      <c r="H178" s="286"/>
      <c r="I178" s="286"/>
      <c r="J178" s="81"/>
      <c r="K178" s="54"/>
    </row>
    <row r="179" spans="4:11" s="45" customFormat="1">
      <c r="D179" s="52"/>
      <c r="E179" s="53"/>
      <c r="F179" s="53"/>
      <c r="G179" s="286"/>
      <c r="H179" s="286"/>
      <c r="I179" s="286"/>
      <c r="J179" s="81"/>
      <c r="K179" s="54"/>
    </row>
    <row r="180" spans="4:11" s="45" customFormat="1">
      <c r="D180" s="52"/>
      <c r="E180" s="53"/>
      <c r="F180" s="53"/>
      <c r="G180" s="286"/>
      <c r="H180" s="286"/>
      <c r="I180" s="286"/>
      <c r="J180" s="81"/>
      <c r="K180" s="54"/>
    </row>
    <row r="181" spans="4:11" s="45" customFormat="1">
      <c r="D181" s="52"/>
      <c r="E181" s="53"/>
      <c r="F181" s="53"/>
      <c r="G181" s="286"/>
      <c r="H181" s="286"/>
      <c r="I181" s="286"/>
      <c r="J181" s="81"/>
      <c r="K181" s="54"/>
    </row>
    <row r="182" spans="4:11" s="45" customFormat="1">
      <c r="D182" s="52"/>
      <c r="E182" s="53"/>
      <c r="F182" s="53"/>
      <c r="G182" s="286"/>
      <c r="H182" s="286"/>
      <c r="I182" s="286"/>
      <c r="J182" s="81"/>
      <c r="K182" s="54"/>
    </row>
    <row r="183" spans="4:11" s="45" customFormat="1">
      <c r="D183" s="52"/>
      <c r="E183" s="53"/>
      <c r="F183" s="53"/>
      <c r="G183" s="286"/>
      <c r="H183" s="286"/>
      <c r="I183" s="286"/>
      <c r="J183" s="81"/>
      <c r="K183" s="54"/>
    </row>
    <row r="184" spans="4:11" s="45" customFormat="1">
      <c r="D184" s="52"/>
      <c r="E184" s="53"/>
      <c r="F184" s="53"/>
      <c r="G184" s="286"/>
      <c r="H184" s="286"/>
      <c r="I184" s="286"/>
      <c r="J184" s="81"/>
      <c r="K184" s="54"/>
    </row>
    <row r="185" spans="4:11" s="45" customFormat="1">
      <c r="D185" s="52"/>
      <c r="E185" s="53"/>
      <c r="F185" s="53"/>
      <c r="G185" s="286"/>
      <c r="H185" s="286"/>
      <c r="I185" s="286"/>
      <c r="J185" s="81"/>
      <c r="K185" s="54"/>
    </row>
    <row r="186" spans="4:11" s="45" customFormat="1">
      <c r="D186" s="52"/>
      <c r="E186" s="53"/>
      <c r="F186" s="53"/>
      <c r="G186" s="286"/>
      <c r="H186" s="286"/>
      <c r="I186" s="286"/>
      <c r="J186" s="81"/>
      <c r="K186" s="54"/>
    </row>
    <row r="187" spans="4:11" s="45" customFormat="1">
      <c r="D187" s="52"/>
      <c r="E187" s="53"/>
      <c r="F187" s="53"/>
      <c r="G187" s="286"/>
      <c r="H187" s="286"/>
      <c r="I187" s="286"/>
      <c r="J187" s="81"/>
      <c r="K187" s="54"/>
    </row>
    <row r="188" spans="4:11" s="45" customFormat="1">
      <c r="D188" s="52"/>
      <c r="E188" s="53"/>
      <c r="F188" s="53"/>
      <c r="G188" s="286"/>
      <c r="H188" s="286"/>
      <c r="I188" s="286"/>
      <c r="J188" s="81"/>
      <c r="K188" s="54"/>
    </row>
    <row r="189" spans="4:11" s="45" customFormat="1">
      <c r="D189" s="52"/>
      <c r="E189" s="53"/>
      <c r="F189" s="53"/>
      <c r="G189" s="286"/>
      <c r="H189" s="286"/>
      <c r="I189" s="286"/>
      <c r="J189" s="81"/>
      <c r="K189" s="54"/>
    </row>
    <row r="190" spans="4:11" s="45" customFormat="1">
      <c r="D190" s="52"/>
      <c r="E190" s="53"/>
      <c r="F190" s="53"/>
      <c r="G190" s="286"/>
      <c r="H190" s="286"/>
      <c r="I190" s="286"/>
      <c r="J190" s="81"/>
      <c r="K190" s="54"/>
    </row>
    <row r="191" spans="4:11" s="45" customFormat="1">
      <c r="D191" s="52"/>
      <c r="E191" s="53"/>
      <c r="F191" s="53"/>
      <c r="G191" s="286"/>
      <c r="H191" s="286"/>
      <c r="I191" s="286"/>
      <c r="J191" s="81"/>
      <c r="K191" s="54"/>
    </row>
    <row r="192" spans="4:11" s="45" customFormat="1">
      <c r="D192" s="52"/>
      <c r="E192" s="53"/>
      <c r="F192" s="53"/>
      <c r="G192" s="286"/>
      <c r="H192" s="286"/>
      <c r="I192" s="286"/>
      <c r="J192" s="81"/>
      <c r="K192" s="54"/>
    </row>
    <row r="193" spans="4:11" s="45" customFormat="1">
      <c r="D193" s="52"/>
      <c r="E193" s="53"/>
      <c r="F193" s="53"/>
      <c r="G193" s="286"/>
      <c r="H193" s="286"/>
      <c r="I193" s="286"/>
      <c r="J193" s="81"/>
      <c r="K193" s="54"/>
    </row>
    <row r="194" spans="4:11" s="45" customFormat="1">
      <c r="D194" s="52"/>
      <c r="E194" s="53"/>
      <c r="F194" s="53"/>
      <c r="G194" s="286"/>
      <c r="H194" s="286"/>
      <c r="I194" s="286"/>
      <c r="J194" s="81"/>
      <c r="K194" s="54"/>
    </row>
    <row r="195" spans="4:11" s="45" customFormat="1">
      <c r="D195" s="52"/>
      <c r="E195" s="53"/>
      <c r="F195" s="53"/>
      <c r="G195" s="286"/>
      <c r="H195" s="286"/>
      <c r="I195" s="286"/>
      <c r="J195" s="81"/>
      <c r="K195" s="54"/>
    </row>
    <row r="196" spans="4:11" s="45" customFormat="1">
      <c r="D196" s="52"/>
      <c r="E196" s="53"/>
      <c r="F196" s="53"/>
      <c r="G196" s="286"/>
      <c r="H196" s="286"/>
      <c r="I196" s="286"/>
      <c r="J196" s="81"/>
      <c r="K196" s="54"/>
    </row>
    <row r="197" spans="4:11" s="45" customFormat="1">
      <c r="D197" s="52"/>
      <c r="E197" s="53"/>
      <c r="F197" s="53"/>
      <c r="G197" s="286"/>
      <c r="H197" s="286"/>
      <c r="I197" s="286"/>
      <c r="J197" s="81"/>
      <c r="K197" s="54"/>
    </row>
    <row r="198" spans="4:11" s="45" customFormat="1">
      <c r="D198" s="52"/>
      <c r="E198" s="53"/>
      <c r="F198" s="53"/>
      <c r="G198" s="286"/>
      <c r="H198" s="286"/>
      <c r="I198" s="286"/>
      <c r="J198" s="81"/>
      <c r="K198" s="54"/>
    </row>
    <row r="199" spans="4:11" s="45" customFormat="1">
      <c r="D199" s="52"/>
      <c r="E199" s="53"/>
      <c r="F199" s="53"/>
      <c r="G199" s="286"/>
      <c r="H199" s="286"/>
      <c r="I199" s="286"/>
      <c r="J199" s="81"/>
      <c r="K199" s="54"/>
    </row>
    <row r="200" spans="4:11" s="45" customFormat="1">
      <c r="D200" s="52"/>
      <c r="E200" s="53"/>
      <c r="F200" s="53"/>
      <c r="G200" s="286"/>
      <c r="H200" s="286"/>
      <c r="I200" s="286"/>
      <c r="J200" s="81"/>
      <c r="K200" s="54"/>
    </row>
    <row r="201" spans="4:11" s="45" customFormat="1">
      <c r="D201" s="52"/>
      <c r="E201" s="53"/>
      <c r="F201" s="53"/>
      <c r="G201" s="286"/>
      <c r="H201" s="286"/>
      <c r="I201" s="286"/>
      <c r="J201" s="81"/>
      <c r="K201" s="54"/>
    </row>
    <row r="202" spans="4:11" s="45" customFormat="1">
      <c r="D202" s="52"/>
      <c r="E202" s="53"/>
      <c r="F202" s="53"/>
      <c r="G202" s="286"/>
      <c r="H202" s="286"/>
      <c r="I202" s="286"/>
      <c r="J202" s="81"/>
      <c r="K202" s="54"/>
    </row>
    <row r="203" spans="4:11" s="45" customFormat="1">
      <c r="D203" s="52"/>
      <c r="E203" s="53"/>
      <c r="F203" s="53"/>
      <c r="G203" s="286"/>
      <c r="H203" s="286"/>
      <c r="I203" s="286"/>
      <c r="J203" s="81"/>
      <c r="K203" s="54"/>
    </row>
    <row r="204" spans="4:11" s="45" customFormat="1">
      <c r="D204" s="52"/>
      <c r="E204" s="53"/>
      <c r="F204" s="53"/>
      <c r="G204" s="286"/>
      <c r="H204" s="286"/>
      <c r="I204" s="286"/>
      <c r="J204" s="81"/>
      <c r="K204" s="54"/>
    </row>
    <row r="205" spans="4:11" s="45" customFormat="1">
      <c r="D205" s="52"/>
      <c r="E205" s="53"/>
      <c r="F205" s="53"/>
      <c r="G205" s="286"/>
      <c r="H205" s="286"/>
      <c r="I205" s="286"/>
      <c r="J205" s="81"/>
      <c r="K205" s="54"/>
    </row>
    <row r="206" spans="4:11" s="45" customFormat="1">
      <c r="D206" s="52"/>
      <c r="E206" s="53"/>
      <c r="F206" s="53"/>
      <c r="G206" s="286"/>
      <c r="H206" s="286"/>
      <c r="I206" s="286"/>
      <c r="J206" s="81"/>
      <c r="K206" s="54"/>
    </row>
    <row r="207" spans="4:11" s="45" customFormat="1">
      <c r="D207" s="52"/>
      <c r="E207" s="53"/>
      <c r="F207" s="53"/>
      <c r="G207" s="286"/>
      <c r="H207" s="286"/>
      <c r="I207" s="286"/>
      <c r="J207" s="81"/>
      <c r="K207" s="54"/>
    </row>
    <row r="208" spans="4:11" s="45" customFormat="1">
      <c r="D208" s="52"/>
      <c r="E208" s="53"/>
      <c r="F208" s="53"/>
      <c r="G208" s="286"/>
      <c r="H208" s="286"/>
      <c r="I208" s="286"/>
      <c r="J208" s="81"/>
      <c r="K208" s="54"/>
    </row>
    <row r="209" spans="4:11" s="45" customFormat="1">
      <c r="D209" s="52"/>
      <c r="E209" s="53"/>
      <c r="F209" s="53"/>
      <c r="G209" s="286"/>
      <c r="H209" s="286"/>
      <c r="I209" s="286"/>
      <c r="J209" s="81"/>
      <c r="K209" s="54"/>
    </row>
    <row r="210" spans="4:11" s="45" customFormat="1">
      <c r="D210" s="52"/>
      <c r="E210" s="53"/>
      <c r="F210" s="53"/>
      <c r="G210" s="286"/>
      <c r="H210" s="286"/>
      <c r="I210" s="286"/>
      <c r="J210" s="81"/>
      <c r="K210" s="54"/>
    </row>
    <row r="211" spans="4:11" s="45" customFormat="1">
      <c r="D211" s="52"/>
      <c r="E211" s="53"/>
      <c r="F211" s="53"/>
      <c r="G211" s="286"/>
      <c r="H211" s="286"/>
      <c r="I211" s="286"/>
      <c r="J211" s="81"/>
      <c r="K211" s="54"/>
    </row>
    <row r="212" spans="4:11" s="45" customFormat="1">
      <c r="D212" s="52"/>
      <c r="E212" s="53"/>
      <c r="F212" s="53"/>
      <c r="G212" s="286"/>
      <c r="H212" s="286"/>
      <c r="I212" s="286"/>
      <c r="J212" s="81"/>
      <c r="K212" s="54"/>
    </row>
    <row r="213" spans="4:11" s="45" customFormat="1">
      <c r="D213" s="52"/>
      <c r="E213" s="53"/>
      <c r="F213" s="53"/>
      <c r="G213" s="286"/>
      <c r="H213" s="286"/>
      <c r="I213" s="286"/>
      <c r="J213" s="81"/>
      <c r="K213" s="54"/>
    </row>
    <row r="214" spans="4:11" s="45" customFormat="1">
      <c r="D214" s="52"/>
      <c r="E214" s="53"/>
      <c r="F214" s="53"/>
      <c r="G214" s="286"/>
      <c r="H214" s="286"/>
      <c r="I214" s="286"/>
      <c r="J214" s="81"/>
      <c r="K214" s="54"/>
    </row>
    <row r="215" spans="4:11" s="45" customFormat="1">
      <c r="D215" s="52"/>
      <c r="E215" s="53"/>
      <c r="F215" s="53"/>
      <c r="G215" s="286"/>
      <c r="H215" s="286"/>
      <c r="I215" s="286"/>
      <c r="J215" s="81"/>
      <c r="K215" s="54"/>
    </row>
    <row r="216" spans="4:11" s="45" customFormat="1">
      <c r="D216" s="52"/>
      <c r="E216" s="53"/>
      <c r="F216" s="53"/>
      <c r="G216" s="286"/>
      <c r="H216" s="286"/>
      <c r="I216" s="286"/>
      <c r="J216" s="81"/>
      <c r="K216" s="54"/>
    </row>
    <row r="217" spans="4:11" s="45" customFormat="1">
      <c r="D217" s="52"/>
      <c r="E217" s="53"/>
      <c r="F217" s="53"/>
      <c r="G217" s="286"/>
      <c r="H217" s="286"/>
      <c r="I217" s="286"/>
      <c r="J217" s="81"/>
      <c r="K217" s="54"/>
    </row>
    <row r="218" spans="4:11" s="45" customFormat="1">
      <c r="D218" s="52"/>
      <c r="E218" s="53"/>
      <c r="F218" s="53"/>
      <c r="G218" s="286"/>
      <c r="H218" s="286"/>
      <c r="I218" s="286"/>
      <c r="J218" s="81"/>
      <c r="K218" s="54"/>
    </row>
    <row r="219" spans="4:11" s="45" customFormat="1">
      <c r="D219" s="52"/>
      <c r="E219" s="53"/>
      <c r="F219" s="53"/>
      <c r="G219" s="286"/>
      <c r="H219" s="286"/>
      <c r="I219" s="286"/>
      <c r="J219" s="81"/>
      <c r="K219" s="54"/>
    </row>
    <row r="220" spans="4:11" s="45" customFormat="1">
      <c r="D220" s="52"/>
      <c r="E220" s="53"/>
      <c r="F220" s="53"/>
      <c r="G220" s="286"/>
      <c r="H220" s="286"/>
      <c r="I220" s="286"/>
      <c r="J220" s="81"/>
      <c r="K220" s="54"/>
    </row>
    <row r="221" spans="4:11" s="45" customFormat="1">
      <c r="D221" s="52"/>
      <c r="E221" s="53"/>
      <c r="F221" s="53"/>
      <c r="G221" s="286"/>
      <c r="H221" s="286"/>
      <c r="I221" s="286"/>
      <c r="J221" s="81"/>
      <c r="K221" s="54"/>
    </row>
    <row r="222" spans="4:11" s="45" customFormat="1">
      <c r="D222" s="52"/>
      <c r="E222" s="53"/>
      <c r="F222" s="53"/>
      <c r="G222" s="286"/>
      <c r="H222" s="286"/>
      <c r="I222" s="286"/>
      <c r="J222" s="81"/>
      <c r="K222" s="54"/>
    </row>
    <row r="223" spans="4:11" s="45" customFormat="1">
      <c r="D223" s="52"/>
      <c r="E223" s="53"/>
      <c r="F223" s="53"/>
      <c r="G223" s="286"/>
      <c r="H223" s="286"/>
      <c r="I223" s="286"/>
      <c r="J223" s="81"/>
      <c r="K223" s="54"/>
    </row>
    <row r="224" spans="4:11" s="45" customFormat="1">
      <c r="D224" s="52"/>
      <c r="E224" s="53"/>
      <c r="F224" s="53"/>
      <c r="G224" s="286"/>
      <c r="H224" s="286"/>
      <c r="I224" s="286"/>
      <c r="J224" s="81"/>
      <c r="K224" s="54"/>
    </row>
    <row r="225" spans="4:11" s="45" customFormat="1">
      <c r="D225" s="52"/>
      <c r="E225" s="53"/>
      <c r="F225" s="53"/>
      <c r="G225" s="286"/>
      <c r="H225" s="286"/>
      <c r="I225" s="286"/>
      <c r="J225" s="81"/>
      <c r="K225" s="54"/>
    </row>
    <row r="226" spans="4:11" s="45" customFormat="1">
      <c r="D226" s="52"/>
      <c r="E226" s="53"/>
      <c r="F226" s="53"/>
      <c r="G226" s="286"/>
      <c r="H226" s="286"/>
      <c r="I226" s="286"/>
      <c r="J226" s="81"/>
      <c r="K226" s="54"/>
    </row>
    <row r="227" spans="4:11" s="45" customFormat="1">
      <c r="D227" s="52"/>
      <c r="E227" s="53"/>
      <c r="F227" s="53"/>
      <c r="G227" s="286"/>
      <c r="H227" s="286"/>
      <c r="I227" s="286"/>
      <c r="J227" s="81"/>
      <c r="K227" s="54"/>
    </row>
    <row r="228" spans="4:11" s="45" customFormat="1">
      <c r="D228" s="52"/>
      <c r="E228" s="53"/>
      <c r="F228" s="53"/>
      <c r="G228" s="286"/>
      <c r="H228" s="286"/>
      <c r="I228" s="286"/>
      <c r="J228" s="81"/>
      <c r="K228" s="54"/>
    </row>
    <row r="229" spans="4:11" s="45" customFormat="1">
      <c r="D229" s="52"/>
      <c r="E229" s="53"/>
      <c r="F229" s="53"/>
      <c r="G229" s="286"/>
      <c r="H229" s="286"/>
      <c r="I229" s="286"/>
      <c r="J229" s="81"/>
      <c r="K229" s="54"/>
    </row>
    <row r="230" spans="4:11" s="45" customFormat="1">
      <c r="D230" s="52"/>
      <c r="E230" s="53"/>
      <c r="F230" s="53"/>
      <c r="G230" s="286"/>
      <c r="H230" s="286"/>
      <c r="I230" s="286"/>
      <c r="J230" s="81"/>
      <c r="K230" s="54"/>
    </row>
    <row r="231" spans="4:11" s="45" customFormat="1">
      <c r="D231" s="52"/>
      <c r="E231" s="53"/>
      <c r="F231" s="53"/>
      <c r="G231" s="286"/>
      <c r="H231" s="286"/>
      <c r="I231" s="286"/>
      <c r="J231" s="81"/>
      <c r="K231" s="54"/>
    </row>
    <row r="232" spans="4:11" s="45" customFormat="1">
      <c r="D232" s="52"/>
      <c r="E232" s="53"/>
      <c r="F232" s="53"/>
      <c r="G232" s="286"/>
      <c r="H232" s="286"/>
      <c r="I232" s="286"/>
      <c r="J232" s="81"/>
      <c r="K232" s="54"/>
    </row>
    <row r="233" spans="4:11" s="45" customFormat="1">
      <c r="D233" s="52"/>
      <c r="E233" s="53"/>
      <c r="F233" s="53"/>
      <c r="G233" s="286"/>
      <c r="H233" s="286"/>
      <c r="I233" s="286"/>
      <c r="J233" s="81"/>
      <c r="K233" s="54"/>
    </row>
    <row r="234" spans="4:11" s="45" customFormat="1">
      <c r="D234" s="52"/>
      <c r="E234" s="53"/>
      <c r="F234" s="53"/>
      <c r="G234" s="286"/>
      <c r="H234" s="286"/>
      <c r="I234" s="286"/>
      <c r="J234" s="81"/>
      <c r="K234" s="54"/>
    </row>
    <row r="235" spans="4:11" s="45" customFormat="1">
      <c r="D235" s="52"/>
      <c r="E235" s="53"/>
      <c r="F235" s="53"/>
      <c r="G235" s="286"/>
      <c r="H235" s="286"/>
      <c r="I235" s="286"/>
      <c r="J235" s="81"/>
      <c r="K235" s="54"/>
    </row>
    <row r="236" spans="4:11" s="45" customFormat="1">
      <c r="D236" s="52"/>
      <c r="E236" s="53"/>
      <c r="F236" s="53"/>
      <c r="G236" s="286"/>
      <c r="H236" s="286"/>
      <c r="I236" s="286"/>
      <c r="J236" s="81"/>
      <c r="K236" s="54"/>
    </row>
    <row r="237" spans="4:11" s="45" customFormat="1">
      <c r="D237" s="52"/>
      <c r="E237" s="53"/>
      <c r="F237" s="53"/>
      <c r="G237" s="286"/>
      <c r="H237" s="286"/>
      <c r="I237" s="286"/>
      <c r="J237" s="81"/>
      <c r="K237" s="54"/>
    </row>
    <row r="238" spans="4:11" s="45" customFormat="1">
      <c r="D238" s="52"/>
      <c r="E238" s="53"/>
      <c r="F238" s="53"/>
      <c r="G238" s="286"/>
      <c r="H238" s="286"/>
      <c r="I238" s="286"/>
      <c r="J238" s="81"/>
      <c r="K238" s="54"/>
    </row>
    <row r="239" spans="4:11" s="45" customFormat="1">
      <c r="D239" s="52"/>
      <c r="E239" s="53"/>
      <c r="F239" s="53"/>
      <c r="G239" s="286"/>
      <c r="H239" s="286"/>
      <c r="I239" s="286"/>
      <c r="J239" s="81"/>
      <c r="K239" s="54"/>
    </row>
    <row r="240" spans="4:11" s="45" customFormat="1">
      <c r="D240" s="52"/>
      <c r="E240" s="53"/>
      <c r="F240" s="53"/>
      <c r="G240" s="286"/>
      <c r="H240" s="286"/>
      <c r="I240" s="286"/>
      <c r="J240" s="81"/>
      <c r="K240" s="54"/>
    </row>
    <row r="241" spans="4:11" s="45" customFormat="1">
      <c r="D241" s="52"/>
      <c r="E241" s="53"/>
      <c r="F241" s="53"/>
      <c r="G241" s="286"/>
      <c r="H241" s="286"/>
      <c r="I241" s="286"/>
      <c r="J241" s="81"/>
      <c r="K241" s="54"/>
    </row>
    <row r="242" spans="4:11" s="45" customFormat="1">
      <c r="D242" s="52"/>
      <c r="E242" s="53"/>
      <c r="F242" s="53"/>
      <c r="G242" s="286"/>
      <c r="H242" s="286"/>
      <c r="I242" s="286"/>
      <c r="J242" s="81"/>
      <c r="K242" s="54"/>
    </row>
    <row r="243" spans="4:11" s="45" customFormat="1">
      <c r="D243" s="52"/>
      <c r="E243" s="53"/>
      <c r="F243" s="53"/>
      <c r="G243" s="286"/>
      <c r="H243" s="286"/>
      <c r="I243" s="286"/>
      <c r="J243" s="81"/>
      <c r="K243" s="54"/>
    </row>
    <row r="244" spans="4:11" s="45" customFormat="1">
      <c r="D244" s="52"/>
      <c r="E244" s="53"/>
      <c r="F244" s="53"/>
      <c r="G244" s="286"/>
      <c r="H244" s="286"/>
      <c r="I244" s="286"/>
      <c r="J244" s="81"/>
      <c r="K244" s="54"/>
    </row>
    <row r="245" spans="4:11" s="45" customFormat="1">
      <c r="D245" s="52"/>
      <c r="E245" s="53"/>
      <c r="F245" s="53"/>
      <c r="G245" s="286"/>
      <c r="H245" s="286"/>
      <c r="I245" s="286"/>
      <c r="J245" s="81"/>
      <c r="K245" s="54"/>
    </row>
    <row r="246" spans="4:11" s="45" customFormat="1">
      <c r="D246" s="52"/>
      <c r="E246" s="53"/>
      <c r="F246" s="53"/>
      <c r="G246" s="286"/>
      <c r="H246" s="286"/>
      <c r="I246" s="286"/>
      <c r="J246" s="81"/>
      <c r="K246" s="54"/>
    </row>
    <row r="247" spans="4:11" s="45" customFormat="1">
      <c r="D247" s="52"/>
      <c r="E247" s="53"/>
      <c r="F247" s="53"/>
      <c r="G247" s="286"/>
      <c r="H247" s="286"/>
      <c r="I247" s="286"/>
      <c r="J247" s="81"/>
      <c r="K247" s="54"/>
    </row>
    <row r="248" spans="4:11" s="45" customFormat="1">
      <c r="D248" s="52"/>
      <c r="E248" s="53"/>
      <c r="F248" s="53"/>
      <c r="G248" s="286"/>
      <c r="H248" s="286"/>
      <c r="I248" s="286"/>
      <c r="J248" s="81"/>
      <c r="K248" s="54"/>
    </row>
    <row r="249" spans="4:11" s="45" customFormat="1">
      <c r="D249" s="52"/>
      <c r="E249" s="53"/>
      <c r="F249" s="53"/>
      <c r="G249" s="286"/>
      <c r="H249" s="286"/>
      <c r="I249" s="286"/>
      <c r="J249" s="81"/>
      <c r="K249" s="54"/>
    </row>
    <row r="250" spans="4:11" s="45" customFormat="1">
      <c r="D250" s="52"/>
      <c r="E250" s="53"/>
      <c r="F250" s="53"/>
      <c r="G250" s="286"/>
      <c r="H250" s="286"/>
      <c r="I250" s="286"/>
      <c r="J250" s="81"/>
      <c r="K250" s="54"/>
    </row>
    <row r="251" spans="4:11" s="45" customFormat="1">
      <c r="D251" s="52"/>
      <c r="E251" s="53"/>
      <c r="F251" s="53"/>
      <c r="G251" s="286"/>
      <c r="H251" s="286"/>
      <c r="I251" s="286"/>
      <c r="J251" s="81"/>
      <c r="K251" s="54"/>
    </row>
    <row r="252" spans="4:11" s="45" customFormat="1">
      <c r="D252" s="52"/>
      <c r="E252" s="53"/>
      <c r="F252" s="53"/>
      <c r="G252" s="286"/>
      <c r="H252" s="286"/>
      <c r="I252" s="286"/>
      <c r="J252" s="81"/>
      <c r="K252" s="54"/>
    </row>
    <row r="253" spans="4:11" s="45" customFormat="1">
      <c r="D253" s="52"/>
      <c r="E253" s="53"/>
      <c r="F253" s="53"/>
      <c r="G253" s="286"/>
      <c r="H253" s="286"/>
      <c r="I253" s="286"/>
      <c r="J253" s="81"/>
      <c r="K253" s="54"/>
    </row>
    <row r="254" spans="4:11" s="45" customFormat="1">
      <c r="D254" s="52"/>
      <c r="E254" s="53"/>
      <c r="F254" s="53"/>
      <c r="G254" s="286"/>
      <c r="H254" s="286"/>
      <c r="I254" s="286"/>
      <c r="J254" s="81"/>
      <c r="K254" s="54"/>
    </row>
    <row r="255" spans="4:11" s="45" customFormat="1">
      <c r="D255" s="52"/>
      <c r="E255" s="53"/>
      <c r="F255" s="53"/>
      <c r="G255" s="286"/>
      <c r="H255" s="286"/>
      <c r="I255" s="286"/>
      <c r="J255" s="81"/>
      <c r="K255" s="54"/>
    </row>
    <row r="256" spans="4:11" s="45" customFormat="1">
      <c r="D256" s="52"/>
      <c r="E256" s="53"/>
      <c r="F256" s="53"/>
      <c r="G256" s="286"/>
      <c r="H256" s="286"/>
      <c r="I256" s="286"/>
      <c r="J256" s="81"/>
      <c r="K256" s="54"/>
    </row>
    <row r="257" spans="1:1006" s="45" customFormat="1">
      <c r="D257" s="52"/>
      <c r="E257" s="53"/>
      <c r="F257" s="53"/>
      <c r="G257" s="286"/>
      <c r="H257" s="286"/>
      <c r="I257" s="286"/>
      <c r="J257" s="81"/>
      <c r="K257" s="54"/>
    </row>
    <row r="258" spans="1:1006" s="45" customFormat="1">
      <c r="D258" s="52"/>
      <c r="E258" s="53"/>
      <c r="F258" s="53"/>
      <c r="G258" s="286"/>
      <c r="H258" s="286"/>
      <c r="I258" s="286"/>
      <c r="J258" s="81"/>
      <c r="K258" s="54"/>
    </row>
    <row r="259" spans="1:1006" s="45" customFormat="1">
      <c r="D259" s="52"/>
      <c r="E259" s="53"/>
      <c r="F259" s="53"/>
      <c r="G259" s="286"/>
      <c r="H259" s="286"/>
      <c r="I259" s="286"/>
      <c r="J259" s="81"/>
      <c r="K259" s="54"/>
    </row>
    <row r="260" spans="1:1006" s="45" customFormat="1">
      <c r="D260" s="52"/>
      <c r="E260" s="53"/>
      <c r="F260" s="53"/>
      <c r="G260" s="286"/>
      <c r="H260" s="286"/>
      <c r="I260" s="286"/>
      <c r="J260" s="81"/>
      <c r="K260" s="54"/>
    </row>
    <row r="261" spans="1:1006" s="45" customFormat="1">
      <c r="D261" s="52"/>
      <c r="E261" s="53"/>
      <c r="F261" s="53"/>
      <c r="G261" s="286"/>
      <c r="H261" s="286"/>
      <c r="I261" s="286"/>
      <c r="J261" s="81"/>
      <c r="K261" s="54"/>
    </row>
    <row r="262" spans="1:1006" s="45" customFormat="1">
      <c r="D262" s="52"/>
      <c r="E262" s="53"/>
      <c r="F262" s="53"/>
      <c r="G262" s="286"/>
      <c r="H262" s="286"/>
      <c r="I262" s="286"/>
      <c r="J262" s="81"/>
      <c r="K262" s="54"/>
    </row>
    <row r="263" spans="1:1006" s="45" customFormat="1">
      <c r="D263" s="52"/>
      <c r="E263" s="53"/>
      <c r="F263" s="53"/>
      <c r="G263" s="286"/>
      <c r="H263" s="286"/>
      <c r="I263" s="286"/>
      <c r="J263" s="81"/>
      <c r="K263" s="54"/>
    </row>
    <row r="264" spans="1:1006" s="45" customFormat="1">
      <c r="D264" s="52"/>
      <c r="E264" s="53"/>
      <c r="F264" s="53"/>
      <c r="G264" s="286"/>
      <c r="H264" s="286"/>
      <c r="I264" s="286"/>
      <c r="J264" s="81"/>
      <c r="K264" s="54"/>
    </row>
    <row r="265" spans="1:1006" s="45" customFormat="1">
      <c r="D265" s="52"/>
      <c r="E265" s="53"/>
      <c r="F265" s="53"/>
      <c r="G265" s="286"/>
      <c r="H265" s="286"/>
      <c r="I265" s="286"/>
      <c r="J265" s="81"/>
      <c r="K265" s="54"/>
    </row>
    <row r="266" spans="1:1006" s="45" customFormat="1">
      <c r="D266" s="52"/>
      <c r="E266" s="53"/>
      <c r="F266" s="53"/>
      <c r="G266" s="286"/>
      <c r="H266" s="286"/>
      <c r="I266" s="286"/>
      <c r="J266" s="81"/>
      <c r="K266" s="54"/>
    </row>
    <row r="267" spans="1:1006" s="45" customFormat="1">
      <c r="D267" s="52"/>
      <c r="E267" s="53"/>
      <c r="F267" s="53"/>
      <c r="G267" s="286"/>
      <c r="H267" s="286"/>
      <c r="I267" s="286"/>
      <c r="J267" s="81"/>
      <c r="K267" s="54"/>
    </row>
    <row r="268" spans="1:1006" s="45" customFormat="1">
      <c r="D268" s="52"/>
      <c r="E268" s="53"/>
      <c r="F268" s="53"/>
      <c r="G268" s="286"/>
      <c r="H268" s="286"/>
      <c r="I268" s="286"/>
      <c r="J268" s="81"/>
      <c r="K268" s="54"/>
    </row>
    <row r="269" spans="1:1006" s="57" customFormat="1">
      <c r="A269" s="55"/>
      <c r="B269" s="55"/>
      <c r="C269" s="55"/>
      <c r="D269" s="56"/>
      <c r="E269" s="53"/>
      <c r="F269" s="53"/>
      <c r="G269" s="286"/>
      <c r="H269" s="286"/>
      <c r="I269" s="286"/>
      <c r="J269" s="81"/>
      <c r="K269" s="54"/>
      <c r="L269" s="55"/>
      <c r="M269" s="55"/>
      <c r="N269" s="55"/>
      <c r="O269" s="55"/>
      <c r="P269" s="55"/>
      <c r="Q269" s="55"/>
      <c r="R269" s="55"/>
      <c r="S269" s="55"/>
      <c r="T269" s="55"/>
      <c r="U269" s="55"/>
      <c r="V269" s="55"/>
      <c r="W269" s="55"/>
      <c r="X269" s="55"/>
      <c r="Y269" s="55"/>
      <c r="Z269" s="55"/>
      <c r="AA269" s="55"/>
      <c r="AB269" s="55"/>
      <c r="AC269" s="55"/>
      <c r="AD269" s="55"/>
      <c r="AE269" s="55"/>
      <c r="AF269" s="55"/>
      <c r="AG269" s="55"/>
      <c r="AH269" s="55"/>
      <c r="AI269" s="55"/>
      <c r="AJ269" s="55"/>
      <c r="AK269" s="55"/>
      <c r="AL269" s="55"/>
      <c r="AM269" s="55"/>
      <c r="AN269" s="55"/>
      <c r="AO269" s="55"/>
      <c r="AP269" s="55"/>
      <c r="AQ269" s="55"/>
      <c r="AR269" s="55"/>
      <c r="AS269" s="55"/>
      <c r="AT269" s="55"/>
      <c r="AU269" s="55"/>
      <c r="AV269" s="55"/>
      <c r="AW269" s="55"/>
      <c r="AX269" s="55"/>
      <c r="AY269" s="55"/>
      <c r="AZ269" s="55"/>
      <c r="BA269" s="55"/>
      <c r="BB269" s="55"/>
      <c r="BC269" s="55"/>
      <c r="BD269" s="55"/>
      <c r="BE269" s="55"/>
      <c r="BF269" s="55"/>
      <c r="BG269" s="55"/>
      <c r="BH269" s="55"/>
      <c r="BI269" s="55"/>
      <c r="BJ269" s="55"/>
      <c r="BK269" s="55"/>
      <c r="BL269" s="55"/>
      <c r="BM269" s="55"/>
      <c r="BN269" s="55"/>
      <c r="BO269" s="55"/>
      <c r="BP269" s="55"/>
      <c r="BQ269" s="55"/>
      <c r="BR269" s="55"/>
      <c r="BS269" s="55"/>
      <c r="BT269" s="55"/>
      <c r="BU269" s="55"/>
      <c r="BV269" s="55"/>
      <c r="BW269" s="55"/>
      <c r="BX269" s="55"/>
      <c r="BY269" s="55"/>
      <c r="BZ269" s="55"/>
      <c r="CA269" s="55"/>
      <c r="CB269" s="55"/>
      <c r="CC269" s="55"/>
      <c r="CD269" s="55"/>
      <c r="CE269" s="55"/>
      <c r="CF269" s="55"/>
      <c r="CG269" s="55"/>
      <c r="CH269" s="55"/>
      <c r="CI269" s="55"/>
      <c r="CJ269" s="55"/>
      <c r="CK269" s="55"/>
      <c r="CL269" s="55"/>
      <c r="CM269" s="55"/>
      <c r="CN269" s="55"/>
      <c r="CO269" s="55"/>
      <c r="CP269" s="55"/>
      <c r="CQ269" s="55"/>
      <c r="CR269" s="55"/>
      <c r="CS269" s="55"/>
      <c r="CT269" s="55"/>
      <c r="CU269" s="55"/>
      <c r="CV269" s="55"/>
      <c r="CW269" s="55"/>
      <c r="CX269" s="55"/>
      <c r="CY269" s="55"/>
      <c r="CZ269" s="55"/>
      <c r="DA269" s="55"/>
      <c r="DB269" s="55"/>
      <c r="DC269" s="55"/>
      <c r="DD269" s="55"/>
      <c r="DE269" s="55"/>
      <c r="DF269" s="55"/>
      <c r="DG269" s="55"/>
      <c r="DH269" s="55"/>
      <c r="DI269" s="55"/>
      <c r="DJ269" s="55"/>
      <c r="DK269" s="55"/>
      <c r="DL269" s="55"/>
      <c r="DM269" s="55"/>
      <c r="DN269" s="55"/>
      <c r="DO269" s="55"/>
      <c r="DP269" s="55"/>
      <c r="DQ269" s="55"/>
      <c r="DR269" s="55"/>
      <c r="DS269" s="55"/>
      <c r="DT269" s="55"/>
      <c r="DU269" s="55"/>
      <c r="DV269" s="55"/>
      <c r="DW269" s="55"/>
      <c r="DX269" s="55"/>
      <c r="DY269" s="55"/>
      <c r="DZ269" s="55"/>
      <c r="EA269" s="55"/>
      <c r="EB269" s="55"/>
      <c r="EC269" s="55"/>
      <c r="ED269" s="55"/>
      <c r="EE269" s="55"/>
      <c r="EF269" s="55"/>
      <c r="EG269" s="55"/>
      <c r="EH269" s="55"/>
      <c r="EI269" s="55"/>
      <c r="EJ269" s="55"/>
      <c r="EK269" s="55"/>
      <c r="EL269" s="55"/>
      <c r="EM269" s="55"/>
      <c r="EN269" s="55"/>
      <c r="EO269" s="55"/>
      <c r="EP269" s="55"/>
      <c r="EQ269" s="55"/>
      <c r="ER269" s="55"/>
      <c r="ES269" s="55"/>
      <c r="ET269" s="55"/>
      <c r="EU269" s="55"/>
      <c r="EV269" s="55"/>
      <c r="EW269" s="55"/>
      <c r="EX269" s="55"/>
      <c r="EY269" s="55"/>
      <c r="EZ269" s="55"/>
      <c r="FA269" s="55"/>
      <c r="FB269" s="55"/>
      <c r="FC269" s="55"/>
      <c r="FD269" s="55"/>
      <c r="FE269" s="55"/>
      <c r="FF269" s="55"/>
      <c r="FG269" s="55"/>
      <c r="FH269" s="55"/>
      <c r="FI269" s="55"/>
      <c r="FJ269" s="55"/>
      <c r="FK269" s="55"/>
      <c r="FL269" s="55"/>
      <c r="FM269" s="55"/>
      <c r="FN269" s="55"/>
      <c r="FO269" s="55"/>
      <c r="FP269" s="55"/>
      <c r="FQ269" s="55"/>
      <c r="FR269" s="55"/>
      <c r="FS269" s="55"/>
      <c r="FT269" s="55"/>
      <c r="FU269" s="55"/>
      <c r="FV269" s="55"/>
      <c r="FW269" s="55"/>
      <c r="FX269" s="55"/>
      <c r="FY269" s="55"/>
      <c r="FZ269" s="55"/>
      <c r="GA269" s="55"/>
      <c r="GB269" s="55"/>
      <c r="GC269" s="55"/>
      <c r="GD269" s="55"/>
      <c r="GE269" s="55"/>
      <c r="GF269" s="55"/>
      <c r="GG269" s="55"/>
      <c r="GH269" s="55"/>
      <c r="GI269" s="55"/>
      <c r="GJ269" s="55"/>
      <c r="GK269" s="55"/>
      <c r="GL269" s="55"/>
      <c r="GM269" s="55"/>
      <c r="GN269" s="55"/>
      <c r="GO269" s="55"/>
      <c r="GP269" s="55"/>
      <c r="GQ269" s="55"/>
      <c r="GR269" s="55"/>
      <c r="GS269" s="55"/>
      <c r="GT269" s="55"/>
      <c r="GU269" s="55"/>
      <c r="GV269" s="55"/>
      <c r="GW269" s="55"/>
      <c r="GX269" s="55"/>
      <c r="GY269" s="55"/>
      <c r="GZ269" s="55"/>
      <c r="HA269" s="55"/>
      <c r="HB269" s="55"/>
      <c r="HC269" s="55"/>
      <c r="HD269" s="55"/>
      <c r="HE269" s="55"/>
      <c r="HF269" s="55"/>
      <c r="HG269" s="55"/>
      <c r="HH269" s="55"/>
      <c r="HI269" s="55"/>
      <c r="HJ269" s="55"/>
      <c r="HK269" s="55"/>
      <c r="HL269" s="55"/>
      <c r="HM269" s="55"/>
      <c r="HN269" s="55"/>
      <c r="HO269" s="55"/>
      <c r="HP269" s="55"/>
      <c r="HQ269" s="55"/>
      <c r="HR269" s="55"/>
      <c r="HS269" s="55"/>
      <c r="HT269" s="55"/>
      <c r="HU269" s="55"/>
      <c r="HV269" s="55"/>
      <c r="HW269" s="55"/>
      <c r="HX269" s="55"/>
      <c r="HY269" s="55"/>
      <c r="HZ269" s="55"/>
      <c r="IA269" s="55"/>
      <c r="IB269" s="55"/>
      <c r="IC269" s="55"/>
      <c r="ID269" s="55"/>
      <c r="IE269" s="55"/>
      <c r="IF269" s="55"/>
      <c r="IG269" s="55"/>
      <c r="IH269" s="55"/>
      <c r="II269" s="55"/>
      <c r="IJ269" s="55"/>
      <c r="IK269" s="55"/>
      <c r="IL269" s="55"/>
      <c r="IM269" s="55"/>
      <c r="IN269" s="55"/>
      <c r="IO269" s="55"/>
      <c r="IP269" s="55"/>
      <c r="IQ269" s="55"/>
      <c r="IR269" s="55"/>
      <c r="IS269" s="55"/>
      <c r="IT269" s="55"/>
      <c r="IU269" s="55"/>
      <c r="IV269" s="55"/>
      <c r="IW269" s="55"/>
      <c r="IX269" s="55"/>
      <c r="IY269" s="55"/>
      <c r="IZ269" s="55"/>
      <c r="JA269" s="55"/>
      <c r="JB269" s="55"/>
      <c r="JC269" s="55"/>
      <c r="JD269" s="55"/>
      <c r="JE269" s="55"/>
      <c r="JF269" s="55"/>
      <c r="JG269" s="55"/>
      <c r="JH269" s="55"/>
      <c r="JI269" s="55"/>
      <c r="JJ269" s="55"/>
      <c r="JK269" s="55"/>
      <c r="JL269" s="55"/>
      <c r="JM269" s="55"/>
      <c r="JN269" s="55"/>
      <c r="JO269" s="55"/>
      <c r="JP269" s="55"/>
      <c r="JQ269" s="55"/>
      <c r="JR269" s="55"/>
      <c r="JS269" s="55"/>
      <c r="JT269" s="55"/>
      <c r="JU269" s="55"/>
      <c r="JV269" s="55"/>
      <c r="JW269" s="55"/>
      <c r="JX269" s="55"/>
      <c r="JY269" s="55"/>
      <c r="JZ269" s="55"/>
      <c r="KA269" s="55"/>
      <c r="KB269" s="55"/>
      <c r="KC269" s="55"/>
      <c r="KD269" s="55"/>
      <c r="KE269" s="55"/>
      <c r="KF269" s="55"/>
      <c r="KG269" s="55"/>
      <c r="KH269" s="55"/>
      <c r="KI269" s="55"/>
      <c r="KJ269" s="55"/>
      <c r="KK269" s="55"/>
      <c r="KL269" s="55"/>
      <c r="KM269" s="55"/>
      <c r="KN269" s="55"/>
      <c r="KO269" s="55"/>
      <c r="KP269" s="55"/>
      <c r="KQ269" s="55"/>
      <c r="KR269" s="55"/>
      <c r="KS269" s="55"/>
      <c r="KT269" s="55"/>
      <c r="KU269" s="55"/>
      <c r="KV269" s="55"/>
      <c r="KW269" s="55"/>
      <c r="KX269" s="55"/>
      <c r="KY269" s="55"/>
      <c r="KZ269" s="55"/>
      <c r="LA269" s="55"/>
      <c r="LB269" s="55"/>
      <c r="LC269" s="55"/>
      <c r="LD269" s="55"/>
      <c r="LE269" s="55"/>
      <c r="LF269" s="55"/>
      <c r="LG269" s="55"/>
      <c r="LH269" s="55"/>
      <c r="LI269" s="55"/>
      <c r="LJ269" s="55"/>
      <c r="LK269" s="55"/>
      <c r="LL269" s="55"/>
      <c r="LM269" s="55"/>
      <c r="LN269" s="55"/>
      <c r="LO269" s="55"/>
      <c r="LP269" s="55"/>
      <c r="LQ269" s="55"/>
      <c r="LR269" s="55"/>
      <c r="LS269" s="55"/>
      <c r="LT269" s="55"/>
      <c r="LU269" s="55"/>
      <c r="LV269" s="55"/>
      <c r="LW269" s="55"/>
      <c r="LX269" s="55"/>
      <c r="LY269" s="55"/>
      <c r="LZ269" s="55"/>
      <c r="MA269" s="55"/>
      <c r="MB269" s="55"/>
      <c r="MC269" s="55"/>
      <c r="MD269" s="55"/>
      <c r="ME269" s="55"/>
      <c r="MF269" s="55"/>
      <c r="MG269" s="55"/>
      <c r="MH269" s="55"/>
      <c r="MI269" s="55"/>
      <c r="MJ269" s="55"/>
      <c r="MK269" s="55"/>
      <c r="ML269" s="55"/>
      <c r="MM269" s="55"/>
      <c r="MN269" s="55"/>
      <c r="MO269" s="55"/>
      <c r="MP269" s="55"/>
      <c r="MQ269" s="55"/>
      <c r="MR269" s="55"/>
      <c r="MS269" s="55"/>
      <c r="MT269" s="55"/>
      <c r="MU269" s="55"/>
      <c r="MV269" s="55"/>
      <c r="MW269" s="55"/>
      <c r="MX269" s="55"/>
      <c r="MY269" s="55"/>
      <c r="MZ269" s="55"/>
      <c r="NA269" s="55"/>
      <c r="NB269" s="55"/>
      <c r="NC269" s="55"/>
      <c r="ND269" s="55"/>
      <c r="NE269" s="55"/>
      <c r="NF269" s="55"/>
      <c r="NG269" s="55"/>
      <c r="NH269" s="55"/>
      <c r="NI269" s="55"/>
      <c r="NJ269" s="55"/>
      <c r="NK269" s="55"/>
      <c r="NL269" s="55"/>
      <c r="NM269" s="55"/>
      <c r="NN269" s="55"/>
      <c r="NO269" s="55"/>
      <c r="NP269" s="55"/>
      <c r="NQ269" s="55"/>
      <c r="NR269" s="55"/>
      <c r="NS269" s="55"/>
      <c r="NT269" s="55"/>
      <c r="NU269" s="55"/>
      <c r="NV269" s="55"/>
      <c r="NW269" s="55"/>
      <c r="NX269" s="55"/>
      <c r="NY269" s="55"/>
      <c r="NZ269" s="55"/>
      <c r="OA269" s="55"/>
      <c r="OB269" s="55"/>
      <c r="OC269" s="55"/>
      <c r="OD269" s="55"/>
      <c r="OE269" s="55"/>
      <c r="OF269" s="55"/>
      <c r="OG269" s="55"/>
      <c r="OH269" s="55"/>
      <c r="OI269" s="55"/>
      <c r="OJ269" s="55"/>
      <c r="OK269" s="55"/>
      <c r="OL269" s="55"/>
      <c r="OM269" s="55"/>
      <c r="ON269" s="55"/>
      <c r="OO269" s="55"/>
      <c r="OP269" s="55"/>
      <c r="OQ269" s="55"/>
      <c r="OR269" s="55"/>
      <c r="OS269" s="55"/>
      <c r="OT269" s="55"/>
      <c r="OU269" s="55"/>
      <c r="OV269" s="55"/>
      <c r="OW269" s="55"/>
      <c r="OX269" s="55"/>
      <c r="OY269" s="55"/>
      <c r="OZ269" s="55"/>
      <c r="PA269" s="55"/>
      <c r="PB269" s="55"/>
      <c r="PC269" s="55"/>
      <c r="PD269" s="55"/>
      <c r="PE269" s="55"/>
      <c r="PF269" s="55"/>
      <c r="PG269" s="55"/>
      <c r="PH269" s="55"/>
      <c r="PI269" s="55"/>
      <c r="PJ269" s="55"/>
      <c r="PK269" s="55"/>
      <c r="PL269" s="55"/>
      <c r="PM269" s="55"/>
      <c r="PN269" s="55"/>
      <c r="PO269" s="55"/>
      <c r="PP269" s="55"/>
      <c r="PQ269" s="55"/>
      <c r="PR269" s="55"/>
      <c r="PS269" s="55"/>
      <c r="PT269" s="55"/>
      <c r="PU269" s="55"/>
      <c r="PV269" s="55"/>
      <c r="PW269" s="55"/>
      <c r="PX269" s="55"/>
      <c r="PY269" s="55"/>
      <c r="PZ269" s="55"/>
      <c r="QA269" s="55"/>
      <c r="QB269" s="55"/>
      <c r="QC269" s="55"/>
      <c r="QD269" s="55"/>
      <c r="QE269" s="55"/>
      <c r="QF269" s="55"/>
      <c r="QG269" s="55"/>
      <c r="QH269" s="55"/>
      <c r="QI269" s="55"/>
      <c r="QJ269" s="55"/>
      <c r="QK269" s="55"/>
      <c r="QL269" s="55"/>
      <c r="QM269" s="55"/>
      <c r="QN269" s="55"/>
      <c r="QO269" s="55"/>
      <c r="QP269" s="55"/>
      <c r="QQ269" s="55"/>
      <c r="QR269" s="55"/>
      <c r="QS269" s="55"/>
      <c r="QT269" s="55"/>
      <c r="QU269" s="55"/>
      <c r="QV269" s="55"/>
      <c r="QW269" s="55"/>
      <c r="QX269" s="55"/>
      <c r="QY269" s="55"/>
      <c r="QZ269" s="55"/>
      <c r="RA269" s="55"/>
      <c r="RB269" s="55"/>
      <c r="RC269" s="55"/>
      <c r="RD269" s="55"/>
      <c r="RE269" s="55"/>
      <c r="RF269" s="55"/>
      <c r="RG269" s="55"/>
      <c r="RH269" s="55"/>
      <c r="RI269" s="55"/>
      <c r="RJ269" s="55"/>
      <c r="RK269" s="55"/>
      <c r="RL269" s="55"/>
      <c r="RM269" s="55"/>
      <c r="RN269" s="55"/>
      <c r="RO269" s="55"/>
      <c r="RP269" s="55"/>
      <c r="RQ269" s="55"/>
      <c r="RR269" s="55"/>
      <c r="RS269" s="55"/>
      <c r="RT269" s="55"/>
      <c r="RU269" s="55"/>
      <c r="RV269" s="55"/>
      <c r="RW269" s="55"/>
      <c r="RX269" s="55"/>
      <c r="RY269" s="55"/>
      <c r="RZ269" s="55"/>
      <c r="SA269" s="55"/>
      <c r="SB269" s="55"/>
      <c r="SC269" s="55"/>
      <c r="SD269" s="55"/>
      <c r="SE269" s="55"/>
      <c r="SF269" s="55"/>
      <c r="SG269" s="55"/>
      <c r="SH269" s="55"/>
      <c r="SI269" s="55"/>
      <c r="SJ269" s="55"/>
      <c r="SK269" s="55"/>
      <c r="SL269" s="55"/>
      <c r="SM269" s="55"/>
      <c r="SN269" s="55"/>
      <c r="SO269" s="55"/>
      <c r="SP269" s="55"/>
      <c r="SQ269" s="55"/>
      <c r="SR269" s="55"/>
      <c r="SS269" s="55"/>
      <c r="ST269" s="55"/>
      <c r="SU269" s="55"/>
      <c r="SV269" s="55"/>
      <c r="SW269" s="55"/>
      <c r="SX269" s="55"/>
      <c r="SY269" s="55"/>
      <c r="SZ269" s="55"/>
      <c r="TA269" s="55"/>
      <c r="TB269" s="55"/>
      <c r="TC269" s="55"/>
      <c r="TD269" s="55"/>
      <c r="TE269" s="55"/>
      <c r="TF269" s="55"/>
      <c r="TG269" s="55"/>
      <c r="TH269" s="55"/>
      <c r="TI269" s="55"/>
      <c r="TJ269" s="55"/>
      <c r="TK269" s="55"/>
      <c r="TL269" s="55"/>
      <c r="TM269" s="55"/>
      <c r="TN269" s="55"/>
      <c r="TO269" s="55"/>
      <c r="TP269" s="55"/>
      <c r="TQ269" s="55"/>
      <c r="TR269" s="55"/>
      <c r="TS269" s="55"/>
      <c r="TT269" s="55"/>
      <c r="TU269" s="55"/>
      <c r="TV269" s="55"/>
      <c r="TW269" s="55"/>
      <c r="TX269" s="55"/>
      <c r="TY269" s="55"/>
      <c r="TZ269" s="55"/>
      <c r="UA269" s="55"/>
      <c r="UB269" s="55"/>
      <c r="UC269" s="55"/>
      <c r="UD269" s="55"/>
      <c r="UE269" s="55"/>
      <c r="UF269" s="55"/>
      <c r="UG269" s="55"/>
      <c r="UH269" s="55"/>
      <c r="UI269" s="55"/>
      <c r="UJ269" s="55"/>
      <c r="UK269" s="55"/>
      <c r="UL269" s="55"/>
      <c r="UM269" s="55"/>
      <c r="UN269" s="55"/>
      <c r="UO269" s="55"/>
      <c r="UP269" s="55"/>
      <c r="UQ269" s="55"/>
      <c r="UR269" s="55"/>
      <c r="US269" s="55"/>
      <c r="UT269" s="55"/>
      <c r="UU269" s="55"/>
      <c r="UV269" s="55"/>
      <c r="UW269" s="55"/>
      <c r="UX269" s="55"/>
      <c r="UY269" s="55"/>
      <c r="UZ269" s="55"/>
      <c r="VA269" s="55"/>
      <c r="VB269" s="55"/>
      <c r="VC269" s="55"/>
      <c r="VD269" s="55"/>
      <c r="VE269" s="55"/>
      <c r="VF269" s="55"/>
      <c r="VG269" s="55"/>
      <c r="VH269" s="55"/>
      <c r="VI269" s="55"/>
      <c r="VJ269" s="55"/>
      <c r="VK269" s="55"/>
      <c r="VL269" s="55"/>
      <c r="VM269" s="55"/>
      <c r="VN269" s="55"/>
      <c r="VO269" s="55"/>
      <c r="VP269" s="55"/>
      <c r="VQ269" s="55"/>
      <c r="VR269" s="55"/>
      <c r="VS269" s="55"/>
      <c r="VT269" s="55"/>
      <c r="VU269" s="55"/>
      <c r="VV269" s="55"/>
      <c r="VW269" s="55"/>
      <c r="VX269" s="55"/>
      <c r="VY269" s="55"/>
      <c r="VZ269" s="55"/>
      <c r="WA269" s="55"/>
      <c r="WB269" s="55"/>
      <c r="WC269" s="55"/>
      <c r="WD269" s="55"/>
      <c r="WE269" s="55"/>
      <c r="WF269" s="55"/>
      <c r="WG269" s="55"/>
      <c r="WH269" s="55"/>
      <c r="WI269" s="55"/>
      <c r="WJ269" s="55"/>
      <c r="WK269" s="55"/>
      <c r="WL269" s="55"/>
      <c r="WM269" s="55"/>
      <c r="WN269" s="55"/>
      <c r="WO269" s="55"/>
      <c r="WP269" s="55"/>
      <c r="WQ269" s="55"/>
      <c r="WR269" s="55"/>
      <c r="WS269" s="55"/>
      <c r="WT269" s="55"/>
      <c r="WU269" s="55"/>
      <c r="WV269" s="55"/>
      <c r="WW269" s="55"/>
      <c r="WX269" s="55"/>
      <c r="WY269" s="55"/>
      <c r="WZ269" s="55"/>
      <c r="XA269" s="55"/>
      <c r="XB269" s="55"/>
      <c r="XC269" s="55"/>
      <c r="XD269" s="55"/>
      <c r="XE269" s="55"/>
      <c r="XF269" s="55"/>
      <c r="XG269" s="55"/>
      <c r="XH269" s="55"/>
      <c r="XI269" s="55"/>
      <c r="XJ269" s="55"/>
      <c r="XK269" s="55"/>
      <c r="XL269" s="55"/>
      <c r="XM269" s="55"/>
      <c r="XN269" s="55"/>
      <c r="XO269" s="55"/>
      <c r="XP269" s="55"/>
      <c r="XQ269" s="55"/>
      <c r="XR269" s="55"/>
      <c r="XS269" s="55"/>
      <c r="XT269" s="55"/>
      <c r="XU269" s="55"/>
      <c r="XV269" s="55"/>
      <c r="XW269" s="55"/>
      <c r="XX269" s="55"/>
      <c r="XY269" s="55"/>
      <c r="XZ269" s="55"/>
      <c r="YA269" s="55"/>
      <c r="YB269" s="55"/>
      <c r="YC269" s="55"/>
      <c r="YD269" s="55"/>
      <c r="YE269" s="55"/>
      <c r="YF269" s="55"/>
      <c r="YG269" s="55"/>
      <c r="YH269" s="55"/>
      <c r="YI269" s="55"/>
      <c r="YJ269" s="55"/>
      <c r="YK269" s="55"/>
      <c r="YL269" s="55"/>
      <c r="YM269" s="55"/>
      <c r="YN269" s="55"/>
      <c r="YO269" s="55"/>
      <c r="YP269" s="55"/>
      <c r="YQ269" s="55"/>
      <c r="YR269" s="55"/>
      <c r="YS269" s="55"/>
      <c r="YT269" s="55"/>
      <c r="YU269" s="55"/>
      <c r="YV269" s="55"/>
      <c r="YW269" s="55"/>
      <c r="YX269" s="55"/>
      <c r="YY269" s="55"/>
      <c r="YZ269" s="55"/>
      <c r="ZA269" s="55"/>
      <c r="ZB269" s="55"/>
      <c r="ZC269" s="55"/>
      <c r="ZD269" s="55"/>
      <c r="ZE269" s="55"/>
      <c r="ZF269" s="55"/>
      <c r="ZG269" s="55"/>
      <c r="ZH269" s="55"/>
      <c r="ZI269" s="55"/>
      <c r="ZJ269" s="55"/>
      <c r="ZK269" s="55"/>
      <c r="ZL269" s="55"/>
      <c r="ZM269" s="55"/>
      <c r="ZN269" s="55"/>
      <c r="ZO269" s="55"/>
      <c r="ZP269" s="55"/>
      <c r="ZQ269" s="55"/>
      <c r="ZR269" s="55"/>
      <c r="ZS269" s="55"/>
      <c r="ZT269" s="55"/>
      <c r="ZU269" s="55"/>
      <c r="ZV269" s="55"/>
      <c r="ZW269" s="55"/>
      <c r="ZX269" s="55"/>
      <c r="ZY269" s="55"/>
      <c r="ZZ269" s="55"/>
      <c r="AAA269" s="55"/>
      <c r="AAB269" s="55"/>
      <c r="AAC269" s="55"/>
      <c r="AAD269" s="55"/>
      <c r="AAE269" s="55"/>
      <c r="AAF269" s="55"/>
      <c r="AAG269" s="55"/>
      <c r="AAH269" s="55"/>
      <c r="AAI269" s="55"/>
      <c r="AAJ269" s="55"/>
      <c r="AAK269" s="55"/>
      <c r="AAL269" s="55"/>
      <c r="AAM269" s="55"/>
      <c r="AAN269" s="55"/>
      <c r="AAO269" s="55"/>
      <c r="AAP269" s="55"/>
      <c r="AAQ269" s="55"/>
      <c r="AAR269" s="55"/>
      <c r="AAS269" s="55"/>
      <c r="AAT269" s="55"/>
      <c r="AAU269" s="55"/>
      <c r="AAV269" s="55"/>
      <c r="AAW269" s="55"/>
      <c r="AAX269" s="55"/>
      <c r="AAY269" s="55"/>
      <c r="AAZ269" s="55"/>
      <c r="ABA269" s="55"/>
      <c r="ABB269" s="55"/>
      <c r="ABC269" s="55"/>
      <c r="ABD269" s="55"/>
      <c r="ABE269" s="55"/>
      <c r="ABF269" s="55"/>
      <c r="ABG269" s="55"/>
      <c r="ABH269" s="55"/>
      <c r="ABI269" s="55"/>
      <c r="ABJ269" s="55"/>
      <c r="ABK269" s="55"/>
      <c r="ABL269" s="55"/>
      <c r="ABM269" s="55"/>
      <c r="ABN269" s="55"/>
      <c r="ABO269" s="55"/>
      <c r="ABP269" s="55"/>
      <c r="ABQ269" s="55"/>
      <c r="ABR269" s="55"/>
      <c r="ABS269" s="55"/>
      <c r="ABT269" s="55"/>
      <c r="ABU269" s="55"/>
      <c r="ABV269" s="55"/>
      <c r="ABW269" s="55"/>
      <c r="ABX269" s="55"/>
      <c r="ABY269" s="55"/>
      <c r="ABZ269" s="55"/>
      <c r="ACA269" s="55"/>
      <c r="ACB269" s="55"/>
      <c r="ACC269" s="55"/>
      <c r="ACD269" s="55"/>
      <c r="ACE269" s="55"/>
      <c r="ACF269" s="55"/>
      <c r="ACG269" s="55"/>
      <c r="ACH269" s="55"/>
      <c r="ACI269" s="55"/>
      <c r="ACJ269" s="55"/>
      <c r="ACK269" s="55"/>
      <c r="ACL269" s="55"/>
      <c r="ACM269" s="55"/>
      <c r="ACN269" s="55"/>
      <c r="ACO269" s="55"/>
      <c r="ACP269" s="55"/>
      <c r="ACQ269" s="55"/>
      <c r="ACR269" s="55"/>
      <c r="ACS269" s="55"/>
      <c r="ACT269" s="55"/>
      <c r="ACU269" s="55"/>
      <c r="ACV269" s="55"/>
      <c r="ACW269" s="55"/>
      <c r="ACX269" s="55"/>
      <c r="ACY269" s="55"/>
      <c r="ACZ269" s="55"/>
      <c r="ADA269" s="55"/>
      <c r="ADB269" s="55"/>
      <c r="ADC269" s="55"/>
      <c r="ADD269" s="55"/>
      <c r="ADE269" s="55"/>
      <c r="ADF269" s="55"/>
      <c r="ADG269" s="55"/>
      <c r="ADH269" s="55"/>
      <c r="ADI269" s="55"/>
      <c r="ADJ269" s="55"/>
      <c r="ADK269" s="55"/>
      <c r="ADL269" s="55"/>
      <c r="ADM269" s="55"/>
      <c r="ADN269" s="55"/>
      <c r="ADO269" s="55"/>
      <c r="ADP269" s="55"/>
      <c r="ADQ269" s="55"/>
      <c r="ADR269" s="55"/>
      <c r="ADS269" s="55"/>
      <c r="ADT269" s="55"/>
      <c r="ADU269" s="55"/>
      <c r="ADV269" s="55"/>
      <c r="ADW269" s="55"/>
      <c r="ADX269" s="55"/>
      <c r="ADY269" s="55"/>
      <c r="ADZ269" s="55"/>
      <c r="AEA269" s="55"/>
      <c r="AEB269" s="55"/>
      <c r="AEC269" s="55"/>
      <c r="AED269" s="55"/>
      <c r="AEE269" s="55"/>
      <c r="AEF269" s="55"/>
      <c r="AEG269" s="55"/>
      <c r="AEH269" s="55"/>
      <c r="AEI269" s="55"/>
      <c r="AEJ269" s="55"/>
      <c r="AEK269" s="55"/>
      <c r="AEL269" s="55"/>
      <c r="AEM269" s="55"/>
      <c r="AEN269" s="55"/>
      <c r="AEO269" s="55"/>
      <c r="AEP269" s="55"/>
      <c r="AEQ269" s="55"/>
      <c r="AER269" s="55"/>
      <c r="AES269" s="55"/>
      <c r="AET269" s="55"/>
      <c r="AEU269" s="55"/>
      <c r="AEV269" s="55"/>
      <c r="AEW269" s="55"/>
      <c r="AEX269" s="55"/>
      <c r="AEY269" s="55"/>
      <c r="AEZ269" s="55"/>
      <c r="AFA269" s="55"/>
      <c r="AFB269" s="55"/>
      <c r="AFC269" s="55"/>
      <c r="AFD269" s="55"/>
      <c r="AFE269" s="55"/>
      <c r="AFF269" s="55"/>
      <c r="AFG269" s="55"/>
      <c r="AFH269" s="55"/>
      <c r="AFI269" s="55"/>
      <c r="AFJ269" s="55"/>
      <c r="AFK269" s="55"/>
      <c r="AFL269" s="55"/>
      <c r="AFM269" s="55"/>
      <c r="AFN269" s="55"/>
      <c r="AFO269" s="55"/>
      <c r="AFP269" s="55"/>
      <c r="AFQ269" s="55"/>
      <c r="AFR269" s="55"/>
      <c r="AFS269" s="55"/>
      <c r="AFT269" s="55"/>
      <c r="AFU269" s="55"/>
      <c r="AFV269" s="55"/>
      <c r="AFW269" s="55"/>
      <c r="AFX269" s="55"/>
      <c r="AFY269" s="55"/>
      <c r="AFZ269" s="55"/>
      <c r="AGA269" s="55"/>
      <c r="AGB269" s="55"/>
      <c r="AGC269" s="55"/>
      <c r="AGD269" s="55"/>
      <c r="AGE269" s="55"/>
      <c r="AGF269" s="55"/>
      <c r="AGG269" s="55"/>
      <c r="AGH269" s="55"/>
      <c r="AGI269" s="55"/>
      <c r="AGJ269" s="55"/>
      <c r="AGK269" s="55"/>
      <c r="AGL269" s="55"/>
      <c r="AGM269" s="55"/>
      <c r="AGN269" s="55"/>
      <c r="AGO269" s="55"/>
      <c r="AGP269" s="55"/>
      <c r="AGQ269" s="55"/>
      <c r="AGR269" s="55"/>
      <c r="AGS269" s="55"/>
      <c r="AGT269" s="55"/>
      <c r="AGU269" s="55"/>
      <c r="AGV269" s="55"/>
      <c r="AGW269" s="55"/>
      <c r="AGX269" s="55"/>
      <c r="AGY269" s="55"/>
      <c r="AGZ269" s="55"/>
      <c r="AHA269" s="55"/>
      <c r="AHB269" s="55"/>
      <c r="AHC269" s="55"/>
      <c r="AHD269" s="55"/>
      <c r="AHE269" s="55"/>
      <c r="AHF269" s="55"/>
      <c r="AHG269" s="55"/>
      <c r="AHH269" s="55"/>
      <c r="AHI269" s="55"/>
      <c r="AHJ269" s="55"/>
      <c r="AHK269" s="55"/>
      <c r="AHL269" s="55"/>
      <c r="AHM269" s="55"/>
      <c r="AHN269" s="55"/>
      <c r="AHO269" s="55"/>
      <c r="AHP269" s="55"/>
      <c r="AHQ269" s="55"/>
      <c r="AHR269" s="55"/>
      <c r="AHS269" s="55"/>
      <c r="AHT269" s="55"/>
      <c r="AHU269" s="55"/>
      <c r="AHV269" s="55"/>
      <c r="AHW269" s="55"/>
      <c r="AHX269" s="55"/>
      <c r="AHY269" s="55"/>
      <c r="AHZ269" s="55"/>
      <c r="AIA269" s="55"/>
      <c r="AIB269" s="55"/>
      <c r="AIC269" s="55"/>
      <c r="AID269" s="55"/>
      <c r="AIE269" s="55"/>
      <c r="AIF269" s="55"/>
      <c r="AIG269" s="55"/>
      <c r="AIH269" s="55"/>
      <c r="AII269" s="55"/>
      <c r="AIJ269" s="55"/>
      <c r="AIK269" s="55"/>
      <c r="AIL269" s="55"/>
      <c r="AIM269" s="55"/>
      <c r="AIN269" s="55"/>
      <c r="AIO269" s="55"/>
      <c r="AIP269" s="55"/>
      <c r="AIQ269" s="55"/>
      <c r="AIR269" s="55"/>
      <c r="AIS269" s="55"/>
      <c r="AIT269" s="55"/>
      <c r="AIU269" s="55"/>
      <c r="AIV269" s="55"/>
      <c r="AIW269" s="55"/>
      <c r="AIX269" s="55"/>
      <c r="AIY269" s="55"/>
      <c r="AIZ269" s="55"/>
      <c r="AJA269" s="55"/>
      <c r="AJB269" s="55"/>
      <c r="AJC269" s="55"/>
      <c r="AJD269" s="55"/>
      <c r="AJE269" s="55"/>
      <c r="AJF269" s="55"/>
      <c r="AJG269" s="55"/>
      <c r="AJH269" s="55"/>
      <c r="AJI269" s="55"/>
      <c r="AJJ269" s="55"/>
      <c r="AJK269" s="55"/>
      <c r="AJL269" s="55"/>
      <c r="AJM269" s="55"/>
      <c r="AJN269" s="55"/>
      <c r="AJO269" s="55"/>
      <c r="AJP269" s="55"/>
      <c r="AJQ269" s="55"/>
      <c r="AJR269" s="55"/>
      <c r="AJS269" s="55"/>
      <c r="AJT269" s="55"/>
      <c r="AJU269" s="55"/>
      <c r="AJV269" s="55"/>
      <c r="AJW269" s="55"/>
      <c r="AJX269" s="55"/>
      <c r="AJY269" s="55"/>
      <c r="AJZ269" s="55"/>
      <c r="AKA269" s="55"/>
      <c r="AKB269" s="55"/>
      <c r="AKC269" s="55"/>
      <c r="AKD269" s="55"/>
      <c r="AKE269" s="55"/>
      <c r="AKF269" s="55"/>
      <c r="AKG269" s="55"/>
      <c r="AKH269" s="55"/>
      <c r="AKI269" s="55"/>
      <c r="AKJ269" s="55"/>
      <c r="AKK269" s="55"/>
      <c r="AKL269" s="55"/>
      <c r="AKM269" s="55"/>
      <c r="AKN269" s="55"/>
      <c r="AKO269" s="55"/>
      <c r="AKP269" s="55"/>
      <c r="AKQ269" s="55"/>
      <c r="AKR269" s="55"/>
      <c r="AKS269" s="55"/>
      <c r="AKT269" s="55"/>
      <c r="AKU269" s="55"/>
      <c r="AKV269" s="55"/>
      <c r="AKW269" s="55"/>
      <c r="AKX269" s="55"/>
      <c r="AKY269" s="55"/>
      <c r="AKZ269" s="55"/>
      <c r="ALA269" s="55"/>
      <c r="ALB269" s="55"/>
      <c r="ALC269" s="55"/>
      <c r="ALD269" s="55"/>
      <c r="ALE269" s="55"/>
      <c r="ALF269" s="55"/>
      <c r="ALG269" s="55"/>
      <c r="ALH269" s="55"/>
      <c r="ALI269" s="55"/>
      <c r="ALJ269" s="55"/>
      <c r="ALK269" s="55"/>
      <c r="ALL269" s="55"/>
      <c r="ALM269" s="55"/>
      <c r="ALN269" s="55"/>
      <c r="ALO269" s="55"/>
      <c r="ALP269" s="55"/>
      <c r="ALQ269" s="55"/>
      <c r="ALR269" s="55"/>
    </row>
  </sheetData>
  <sheetProtection sheet="1" objects="1" scenarios="1"/>
  <dataConsolidate/>
  <mergeCells count="162">
    <mergeCell ref="G17:G26"/>
    <mergeCell ref="H17:H26"/>
    <mergeCell ref="F27:F36"/>
    <mergeCell ref="G27:G36"/>
    <mergeCell ref="H27:H36"/>
    <mergeCell ref="F37:F46"/>
    <mergeCell ref="G37:G46"/>
    <mergeCell ref="H37:H46"/>
    <mergeCell ref="F47:F56"/>
    <mergeCell ref="G47:G56"/>
    <mergeCell ref="H47:H56"/>
    <mergeCell ref="C1:L1"/>
    <mergeCell ref="E5:E6"/>
    <mergeCell ref="F5:F6"/>
    <mergeCell ref="G5:G6"/>
    <mergeCell ref="M3:O3"/>
    <mergeCell ref="G145:I145"/>
    <mergeCell ref="G146:I146"/>
    <mergeCell ref="G147:I147"/>
    <mergeCell ref="G148:I148"/>
    <mergeCell ref="I5:I6"/>
    <mergeCell ref="D7:D16"/>
    <mergeCell ref="D17:D26"/>
    <mergeCell ref="D27:D36"/>
    <mergeCell ref="D37:D46"/>
    <mergeCell ref="D47:D56"/>
    <mergeCell ref="D3:K3"/>
    <mergeCell ref="J5:K5"/>
    <mergeCell ref="D5:D6"/>
    <mergeCell ref="H5:H6"/>
    <mergeCell ref="D59:K63"/>
    <mergeCell ref="F7:F16"/>
    <mergeCell ref="G7:G16"/>
    <mergeCell ref="H7:H16"/>
    <mergeCell ref="F17:F26"/>
    <mergeCell ref="G149:I149"/>
    <mergeCell ref="G150:I150"/>
    <mergeCell ref="G139:I139"/>
    <mergeCell ref="G140:I140"/>
    <mergeCell ref="G141:I141"/>
    <mergeCell ref="G142:I142"/>
    <mergeCell ref="G143:I143"/>
    <mergeCell ref="G144:I144"/>
    <mergeCell ref="G157:I157"/>
    <mergeCell ref="G158:I158"/>
    <mergeCell ref="G159:I159"/>
    <mergeCell ref="G160:I160"/>
    <mergeCell ref="G161:I161"/>
    <mergeCell ref="G162:I162"/>
    <mergeCell ref="G151:I151"/>
    <mergeCell ref="G152:I152"/>
    <mergeCell ref="G153:I153"/>
    <mergeCell ref="G154:I154"/>
    <mergeCell ref="G155:I155"/>
    <mergeCell ref="G156:I156"/>
    <mergeCell ref="G169:I169"/>
    <mergeCell ref="G170:I170"/>
    <mergeCell ref="G171:I171"/>
    <mergeCell ref="G172:I172"/>
    <mergeCell ref="G173:I173"/>
    <mergeCell ref="G174:I174"/>
    <mergeCell ref="G163:I163"/>
    <mergeCell ref="G164:I164"/>
    <mergeCell ref="G165:I165"/>
    <mergeCell ref="G166:I166"/>
    <mergeCell ref="G167:I167"/>
    <mergeCell ref="G168:I168"/>
    <mergeCell ref="G181:I181"/>
    <mergeCell ref="G182:I182"/>
    <mergeCell ref="G183:I183"/>
    <mergeCell ref="G184:I184"/>
    <mergeCell ref="G185:I185"/>
    <mergeCell ref="G186:I186"/>
    <mergeCell ref="G175:I175"/>
    <mergeCell ref="G176:I176"/>
    <mergeCell ref="G177:I177"/>
    <mergeCell ref="G178:I178"/>
    <mergeCell ref="G179:I179"/>
    <mergeCell ref="G180:I180"/>
    <mergeCell ref="G193:I193"/>
    <mergeCell ref="G194:I194"/>
    <mergeCell ref="G195:I195"/>
    <mergeCell ref="G196:I196"/>
    <mergeCell ref="G197:I197"/>
    <mergeCell ref="G198:I198"/>
    <mergeCell ref="G187:I187"/>
    <mergeCell ref="G188:I188"/>
    <mergeCell ref="G189:I189"/>
    <mergeCell ref="G190:I190"/>
    <mergeCell ref="G191:I191"/>
    <mergeCell ref="G192:I192"/>
    <mergeCell ref="G205:I205"/>
    <mergeCell ref="G206:I206"/>
    <mergeCell ref="G207:I207"/>
    <mergeCell ref="G208:I208"/>
    <mergeCell ref="G209:I209"/>
    <mergeCell ref="G210:I210"/>
    <mergeCell ref="G199:I199"/>
    <mergeCell ref="G200:I200"/>
    <mergeCell ref="G201:I201"/>
    <mergeCell ref="G202:I202"/>
    <mergeCell ref="G203:I203"/>
    <mergeCell ref="G204:I204"/>
    <mergeCell ref="G217:I217"/>
    <mergeCell ref="G218:I218"/>
    <mergeCell ref="G219:I219"/>
    <mergeCell ref="G220:I220"/>
    <mergeCell ref="G221:I221"/>
    <mergeCell ref="G222:I222"/>
    <mergeCell ref="G211:I211"/>
    <mergeCell ref="G212:I212"/>
    <mergeCell ref="G213:I213"/>
    <mergeCell ref="G214:I214"/>
    <mergeCell ref="G215:I215"/>
    <mergeCell ref="G216:I216"/>
    <mergeCell ref="G229:I229"/>
    <mergeCell ref="G230:I230"/>
    <mergeCell ref="G231:I231"/>
    <mergeCell ref="G232:I232"/>
    <mergeCell ref="G233:I233"/>
    <mergeCell ref="G234:I234"/>
    <mergeCell ref="G223:I223"/>
    <mergeCell ref="G224:I224"/>
    <mergeCell ref="G225:I225"/>
    <mergeCell ref="G226:I226"/>
    <mergeCell ref="G227:I227"/>
    <mergeCell ref="G228:I228"/>
    <mergeCell ref="G241:I241"/>
    <mergeCell ref="G242:I242"/>
    <mergeCell ref="G243:I243"/>
    <mergeCell ref="G244:I244"/>
    <mergeCell ref="G245:I245"/>
    <mergeCell ref="G246:I246"/>
    <mergeCell ref="G235:I235"/>
    <mergeCell ref="G236:I236"/>
    <mergeCell ref="G237:I237"/>
    <mergeCell ref="G238:I238"/>
    <mergeCell ref="G239:I239"/>
    <mergeCell ref="G240:I240"/>
    <mergeCell ref="G265:I265"/>
    <mergeCell ref="G266:I266"/>
    <mergeCell ref="G267:I267"/>
    <mergeCell ref="G268:I268"/>
    <mergeCell ref="G269:I269"/>
    <mergeCell ref="G259:I259"/>
    <mergeCell ref="G260:I260"/>
    <mergeCell ref="G261:I261"/>
    <mergeCell ref="G262:I262"/>
    <mergeCell ref="G263:I263"/>
    <mergeCell ref="G264:I264"/>
    <mergeCell ref="G253:I253"/>
    <mergeCell ref="G254:I254"/>
    <mergeCell ref="G255:I255"/>
    <mergeCell ref="G256:I256"/>
    <mergeCell ref="G257:I257"/>
    <mergeCell ref="G258:I258"/>
    <mergeCell ref="G247:I247"/>
    <mergeCell ref="G248:I248"/>
    <mergeCell ref="G249:I249"/>
    <mergeCell ref="G250:I250"/>
    <mergeCell ref="G251:I251"/>
    <mergeCell ref="G252:I252"/>
  </mergeCells>
  <conditionalFormatting sqref="D139:D269">
    <cfRule type="expression" dxfId="2" priority="21">
      <formula>$E138&lt;&gt;""</formula>
    </cfRule>
  </conditionalFormatting>
  <conditionalFormatting sqref="E139:I269 K139:K269">
    <cfRule type="expression" dxfId="1" priority="20">
      <formula>$E138&lt;&gt;""</formula>
    </cfRule>
  </conditionalFormatting>
  <conditionalFormatting sqref="J139:J269">
    <cfRule type="expression" dxfId="0" priority="12">
      <formula>$E138&lt;&gt;""</formula>
    </cfRule>
  </conditionalFormatting>
  <dataValidations count="9">
    <dataValidation type="whole" allowBlank="1" showInputMessage="1" showErrorMessage="1" sqref="O16">
      <formula1>O14+1</formula1>
      <formula2>2050</formula2>
    </dataValidation>
    <dataValidation type="list" allowBlank="1" showInputMessage="1" showErrorMessage="1" sqref="F139:F269">
      <formula1>INDIRECT("Mes_Red_Tipus")</formula1>
    </dataValidation>
    <dataValidation operator="greaterThan" allowBlank="1" showInputMessage="1" error="Aquesta dada ha de ser un valor numèric" sqref="J139:J269"/>
    <dataValidation type="list" allowBlank="1" showInputMessage="1" showErrorMessage="1" sqref="E139:E269">
      <formula1>CentrosIB</formula1>
    </dataValidation>
    <dataValidation type="whole" allowBlank="1" showInputMessage="1" showErrorMessage="1" error="Any incorrecte" sqref="O14">
      <formula1>2020</formula1>
      <formula2>2050</formula2>
    </dataValidation>
    <dataValidation allowBlank="1" showInputMessage="1" showErrorMessage="1" error="Any incorrecte" sqref="F7:G7 F17:G17 F27:G27 F37:G37 F47:G47"/>
    <dataValidation type="list" allowBlank="1" showInputMessage="1" showErrorMessage="1" sqref="E7:E56">
      <formula1>Espècies</formula1>
    </dataValidation>
    <dataValidation type="whole" operator="greaterThan" allowBlank="1" showInputMessage="1" showErrorMessage="1" sqref="I7:I56">
      <formula1>0</formula1>
    </dataValidation>
    <dataValidation type="list" allowBlank="1" showInputMessage="1" showErrorMessage="1" sqref="H7 H17 H27 H37 H47">
      <formula1>Anys</formula1>
    </dataValidation>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0833333333333304" right="0.70833333333333304" top="0.74791666666666701" bottom="0.74791666666666701" header="0.51180555555555496" footer="0.51180555555555496"/>
  <pageSetup paperSize="9" scale="10" firstPageNumber="0" orientation="landscape" horizontalDpi="300" verticalDpi="300" r:id="rId1"/>
  <drawing r:id="rId2"/>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1" id="{4E84E3CC-CD3E-4F3D-A1AE-990CF5082397}">
            <xm:f>#REF!="No"</xm:f>
            <x14:dxf>
              <font>
                <color theme="0"/>
              </font>
              <fill>
                <patternFill>
                  <bgColor theme="0"/>
                </patternFill>
              </fill>
              <border>
                <vertical/>
                <horizontal/>
              </border>
            </x14:dxf>
          </x14:cfRule>
          <xm:sqref>M3:O3</xm:sqref>
        </x14:conditionalFormatting>
        <x14:conditionalFormatting xmlns:xm="http://schemas.microsoft.com/office/excel/2006/main">
          <x14:cfRule type="expression" priority="2" id="{46133B63-305E-4526-8957-A522A22B4C14}">
            <xm:f>#REF!="No"</xm:f>
            <x14:dxf>
              <font>
                <color theme="0"/>
              </font>
              <fill>
                <patternFill>
                  <fgColor theme="0"/>
                  <bgColor theme="0"/>
                </patternFill>
              </fill>
              <border>
                <left/>
                <right/>
                <top/>
                <bottom/>
                <vertical/>
                <horizontal/>
              </border>
            </x14:dxf>
          </x14:cfRule>
          <xm:sqref>M5:O16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7000000}">
          <x14:formula1>
            <xm:f>INDIRECT("Mes_Red_"&amp;(IFERROR(VLOOKUP(#REF!,#REF!,2,0),"")))</xm:f>
          </x14:formula1>
          <xm:sqref>G22:G269</xm:sqref>
        </x14:dataValidation>
        <x14:dataValidation type="list" allowBlank="1" showInputMessage="1" showErrorMessage="1" xr:uid="{00000000-0002-0000-0200-000008000000}">
          <x14:formula1>
            <xm:f>#REF!</xm:f>
          </x14:formula1>
          <xm:sqref>E7:E16</xm:sqref>
        </x14:dataValidation>
        <x14:dataValidation type="list" allowBlank="1" showInputMessage="1" showErrorMessage="1" xr:uid="{00000000-0002-0000-0200-000009000000}">
          <x14:formula1>
            <xm:f>#REF!</xm:f>
          </x14:formula1>
          <xm:sqref>M7:M16</xm:sqref>
        </x14:dataValidation>
      </x14:dataValidations>
    </ext>
  </extLst>
</worksheet>
</file>

<file path=xl/worksheets/sheet4.xml><?xml version="1.0" encoding="utf-8"?>
<worksheet xmlns="http://schemas.openxmlformats.org/spreadsheetml/2006/main" xmlns:r="http://schemas.openxmlformats.org/officeDocument/2006/relationships">
  <sheetPr codeName="Hoja4"/>
  <dimension ref="A1:AMK113"/>
  <sheetViews>
    <sheetView zoomScale="55" zoomScaleNormal="55" workbookViewId="0">
      <pane xSplit="1" topLeftCell="B1" activePane="topRight" state="frozen"/>
      <selection activeCell="C1" sqref="C1:M1"/>
      <selection pane="topRight" activeCell="AB22" sqref="AB22"/>
    </sheetView>
  </sheetViews>
  <sheetFormatPr baseColWidth="10" defaultColWidth="9.140625" defaultRowHeight="15"/>
  <cols>
    <col min="1" max="1" width="55.7109375" style="58" customWidth="1"/>
    <col min="2" max="2" width="1.7109375" style="45" customWidth="1"/>
    <col min="3" max="3" width="1" style="45" customWidth="1"/>
    <col min="4" max="4" width="1.42578125" style="59" customWidth="1"/>
    <col min="5" max="5" width="21.85546875" style="59" customWidth="1"/>
    <col min="6" max="6" width="38.7109375" style="59" customWidth="1"/>
    <col min="7" max="7" width="15.28515625" style="59" customWidth="1"/>
    <col min="8" max="8" width="22.140625" style="59" hidden="1" customWidth="1"/>
    <col min="9" max="9" width="15.140625" style="59" customWidth="1"/>
    <col min="10" max="10" width="16.85546875" style="59" customWidth="1"/>
    <col min="11" max="11" width="16.85546875" style="59" hidden="1" customWidth="1"/>
    <col min="12" max="12" width="27" style="59" customWidth="1"/>
    <col min="13" max="13" width="27" style="59" hidden="1" customWidth="1"/>
    <col min="14" max="14" width="27" style="59" customWidth="1"/>
    <col min="15" max="15" width="27" style="59" hidden="1" customWidth="1"/>
    <col min="16" max="16" width="27" style="59" customWidth="1"/>
    <col min="17" max="17" width="27" style="59" hidden="1" customWidth="1"/>
    <col min="18" max="18" width="27" style="59" customWidth="1"/>
    <col min="19" max="22" width="24.28515625" style="59" customWidth="1"/>
    <col min="23" max="23" width="4.5703125" style="59" customWidth="1"/>
    <col min="24" max="1025" width="9.140625" style="59"/>
    <col min="1026" max="16384" width="9.140625" style="46"/>
  </cols>
  <sheetData>
    <row r="1" spans="1:23" ht="40.700000000000003" customHeight="1">
      <c r="B1" s="3"/>
      <c r="C1" s="260" t="s">
        <v>229</v>
      </c>
      <c r="D1" s="260"/>
      <c r="E1" s="260"/>
      <c r="F1" s="260"/>
      <c r="G1" s="260"/>
      <c r="H1" s="260"/>
      <c r="I1" s="260"/>
      <c r="J1" s="260"/>
      <c r="K1" s="260"/>
      <c r="L1" s="260"/>
      <c r="M1" s="260"/>
      <c r="N1" s="260"/>
      <c r="O1" s="260"/>
      <c r="P1" s="260"/>
      <c r="Q1" s="260"/>
      <c r="R1" s="260"/>
      <c r="S1" s="260"/>
      <c r="T1" s="260"/>
      <c r="U1" s="260"/>
      <c r="V1" s="260"/>
      <c r="W1" s="260"/>
    </row>
    <row r="2" spans="1:23" ht="24" customHeight="1">
      <c r="B2" s="3"/>
    </row>
    <row r="3" spans="1:23" ht="16.5" customHeight="1">
      <c r="A3" s="5"/>
      <c r="B3" s="4"/>
      <c r="E3" s="368" t="s">
        <v>230</v>
      </c>
      <c r="F3" s="368"/>
      <c r="G3" s="368"/>
      <c r="H3" s="368"/>
      <c r="I3" s="368"/>
      <c r="J3" s="368"/>
      <c r="K3" s="368"/>
      <c r="L3" s="368"/>
      <c r="M3" s="368"/>
      <c r="N3" s="368"/>
      <c r="O3" s="368"/>
      <c r="P3" s="368"/>
      <c r="Q3" s="368"/>
      <c r="R3" s="368"/>
      <c r="S3" s="368"/>
      <c r="T3" s="368"/>
      <c r="U3" s="368"/>
      <c r="V3" s="368"/>
    </row>
    <row r="4" spans="1:23" ht="14.25" customHeight="1">
      <c r="A4" s="166" t="s">
        <v>171</v>
      </c>
      <c r="B4" s="4"/>
      <c r="E4" s="368"/>
      <c r="F4" s="368"/>
      <c r="G4" s="368"/>
      <c r="H4" s="368"/>
      <c r="I4" s="368"/>
      <c r="J4" s="368"/>
      <c r="K4" s="368"/>
      <c r="L4" s="368"/>
      <c r="M4" s="368"/>
      <c r="N4" s="368"/>
      <c r="O4" s="368"/>
      <c r="P4" s="368"/>
      <c r="Q4" s="368"/>
      <c r="R4" s="368"/>
      <c r="S4" s="368"/>
      <c r="T4" s="368"/>
      <c r="U4" s="368"/>
      <c r="V4" s="368"/>
    </row>
    <row r="5" spans="1:23" ht="16.5" customHeight="1">
      <c r="A5" s="166" t="s">
        <v>172</v>
      </c>
      <c r="B5" s="4"/>
      <c r="E5" s="368"/>
      <c r="F5" s="368"/>
      <c r="G5" s="368"/>
      <c r="H5" s="368"/>
      <c r="I5" s="368"/>
      <c r="J5" s="368"/>
      <c r="K5" s="368"/>
      <c r="L5" s="368"/>
      <c r="M5" s="368"/>
      <c r="N5" s="368"/>
      <c r="O5" s="368"/>
      <c r="P5" s="368"/>
      <c r="Q5" s="368"/>
      <c r="R5" s="368"/>
      <c r="S5" s="368"/>
      <c r="T5" s="368"/>
      <c r="U5" s="368"/>
      <c r="V5" s="368"/>
    </row>
    <row r="6" spans="1:23" ht="16.5" customHeight="1">
      <c r="A6" s="166" t="s">
        <v>219</v>
      </c>
      <c r="B6" s="4"/>
      <c r="C6" s="60"/>
      <c r="D6" s="45"/>
      <c r="E6" s="368"/>
      <c r="F6" s="368"/>
      <c r="G6" s="368"/>
      <c r="H6" s="368"/>
      <c r="I6" s="368"/>
      <c r="J6" s="368"/>
      <c r="K6" s="368"/>
      <c r="L6" s="368"/>
      <c r="M6" s="368"/>
      <c r="N6" s="368"/>
      <c r="O6" s="368"/>
      <c r="P6" s="368"/>
      <c r="Q6" s="368"/>
      <c r="R6" s="368"/>
      <c r="S6" s="368"/>
      <c r="T6" s="368"/>
      <c r="U6" s="368"/>
      <c r="V6" s="368"/>
    </row>
    <row r="7" spans="1:23" ht="16.5" customHeight="1">
      <c r="A7" s="166" t="s">
        <v>173</v>
      </c>
      <c r="B7" s="4"/>
      <c r="E7" s="368"/>
      <c r="F7" s="368"/>
      <c r="G7" s="368"/>
      <c r="H7" s="368"/>
      <c r="I7" s="368"/>
      <c r="J7" s="368"/>
      <c r="K7" s="368"/>
      <c r="L7" s="368"/>
      <c r="M7" s="368"/>
      <c r="N7" s="368"/>
      <c r="O7" s="368"/>
      <c r="P7" s="368"/>
      <c r="Q7" s="368"/>
      <c r="R7" s="368"/>
      <c r="S7" s="368"/>
      <c r="T7" s="368"/>
      <c r="U7" s="368"/>
      <c r="V7" s="368"/>
    </row>
    <row r="8" spans="1:23" ht="16.5" customHeight="1">
      <c r="A8" s="166" t="s">
        <v>220</v>
      </c>
      <c r="E8" s="368"/>
      <c r="F8" s="368"/>
      <c r="G8" s="368"/>
      <c r="H8" s="368"/>
      <c r="I8" s="368"/>
      <c r="J8" s="368"/>
      <c r="K8" s="368"/>
      <c r="L8" s="368"/>
      <c r="M8" s="368"/>
      <c r="N8" s="368"/>
      <c r="O8" s="368"/>
      <c r="P8" s="368"/>
      <c r="Q8" s="368"/>
      <c r="R8" s="368"/>
      <c r="S8" s="368"/>
      <c r="T8" s="368"/>
      <c r="U8" s="368"/>
      <c r="V8" s="368"/>
    </row>
    <row r="9" spans="1:23" ht="16.5" customHeight="1">
      <c r="A9" s="166" t="s">
        <v>174</v>
      </c>
      <c r="E9" s="368"/>
      <c r="F9" s="368"/>
      <c r="G9" s="368"/>
      <c r="H9" s="368"/>
      <c r="I9" s="368"/>
      <c r="J9" s="368"/>
      <c r="K9" s="368"/>
      <c r="L9" s="368"/>
      <c r="M9" s="368"/>
      <c r="N9" s="368"/>
      <c r="O9" s="368"/>
      <c r="P9" s="368"/>
      <c r="Q9" s="368"/>
      <c r="R9" s="368"/>
      <c r="S9" s="368"/>
      <c r="T9" s="368"/>
      <c r="U9" s="368"/>
      <c r="V9" s="368"/>
    </row>
    <row r="10" spans="1:23" ht="16.5" customHeight="1">
      <c r="A10" s="166" t="s">
        <v>175</v>
      </c>
      <c r="E10" s="368"/>
      <c r="F10" s="368"/>
      <c r="G10" s="368"/>
      <c r="H10" s="368"/>
      <c r="I10" s="368"/>
      <c r="J10" s="368"/>
      <c r="K10" s="368"/>
      <c r="L10" s="368"/>
      <c r="M10" s="368"/>
      <c r="N10" s="368"/>
      <c r="O10" s="368"/>
      <c r="P10" s="368"/>
      <c r="Q10" s="368"/>
      <c r="R10" s="368"/>
      <c r="S10" s="368"/>
      <c r="T10" s="368"/>
      <c r="U10" s="368"/>
      <c r="V10" s="368"/>
    </row>
    <row r="11" spans="1:23" s="58" customFormat="1" ht="20.100000000000001" customHeight="1" thickBot="1">
      <c r="A11" s="5"/>
      <c r="B11" s="45"/>
      <c r="C11" s="45"/>
      <c r="D11" s="59"/>
      <c r="E11" s="99"/>
      <c r="F11" s="99"/>
      <c r="G11" s="99"/>
      <c r="H11" s="99"/>
      <c r="I11" s="99"/>
      <c r="J11" s="99"/>
      <c r="K11" s="99"/>
      <c r="L11" s="99"/>
      <c r="M11" s="99"/>
      <c r="N11" s="99"/>
      <c r="O11" s="99"/>
      <c r="P11" s="99"/>
      <c r="Q11" s="99"/>
      <c r="R11" s="99"/>
      <c r="S11" s="99"/>
      <c r="T11" s="99"/>
      <c r="U11" s="99"/>
      <c r="V11" s="99"/>
    </row>
    <row r="12" spans="1:23" ht="15" customHeight="1">
      <c r="A12" s="26"/>
      <c r="E12" s="338" t="s">
        <v>200</v>
      </c>
      <c r="F12" s="335" t="s">
        <v>125</v>
      </c>
      <c r="G12" s="335" t="s">
        <v>231</v>
      </c>
      <c r="H12" s="370" t="s">
        <v>122</v>
      </c>
      <c r="I12" s="335" t="s">
        <v>126</v>
      </c>
      <c r="J12" s="335" t="s">
        <v>232</v>
      </c>
      <c r="K12" s="370" t="s">
        <v>134</v>
      </c>
      <c r="L12" s="335" t="s">
        <v>233</v>
      </c>
      <c r="M12" s="370" t="s">
        <v>135</v>
      </c>
      <c r="N12" s="335" t="s">
        <v>234</v>
      </c>
      <c r="O12" s="370" t="s">
        <v>136</v>
      </c>
      <c r="P12" s="335" t="s">
        <v>235</v>
      </c>
      <c r="Q12" s="370" t="s">
        <v>137</v>
      </c>
      <c r="R12" s="335" t="s">
        <v>236</v>
      </c>
      <c r="S12" s="335" t="s">
        <v>237</v>
      </c>
      <c r="T12" s="335" t="s">
        <v>238</v>
      </c>
      <c r="U12" s="335" t="s">
        <v>239</v>
      </c>
      <c r="V12" s="342" t="s">
        <v>240</v>
      </c>
    </row>
    <row r="13" spans="1:23" s="61" customFormat="1" ht="21.75" customHeight="1" thickBot="1">
      <c r="A13" s="58"/>
      <c r="B13" s="45"/>
      <c r="C13" s="45"/>
      <c r="D13" s="59"/>
      <c r="E13" s="340"/>
      <c r="F13" s="369"/>
      <c r="G13" s="369"/>
      <c r="H13" s="371"/>
      <c r="I13" s="369"/>
      <c r="J13" s="369"/>
      <c r="K13" s="371"/>
      <c r="L13" s="369"/>
      <c r="M13" s="371"/>
      <c r="N13" s="369"/>
      <c r="O13" s="371"/>
      <c r="P13" s="369"/>
      <c r="Q13" s="371"/>
      <c r="R13" s="369"/>
      <c r="S13" s="369"/>
      <c r="T13" s="369"/>
      <c r="U13" s="369"/>
      <c r="V13" s="372"/>
    </row>
    <row r="14" spans="1:23" ht="16.5" customHeight="1">
      <c r="E14" s="338" t="str">
        <f>IF(('1. Dades generals del projecte'!D30)="","",('1. Dades generals del projecte'!D30))</f>
        <v/>
      </c>
      <c r="F14" s="105" t="str">
        <f>IF('2.1 Absorcions arbres'!E7=0,"",'2.1 Absorcions arbres'!E7)</f>
        <v/>
      </c>
      <c r="G14" s="194" t="str">
        <f>IFERROR(VLOOKUP(F14,Dades_PA!$A$6:$H$32,8,FALSE),"")</f>
        <v/>
      </c>
      <c r="H14" s="103" t="str">
        <f>IF(('2.1 Absorcions arbres'!H7&gt;0),('2.1 Absorcions arbres'!H7),"")</f>
        <v/>
      </c>
      <c r="I14" s="104"/>
      <c r="J14" s="194" t="str">
        <f>IFERROR((IF(G14="Rebrotadora","Vives",IF(G14="No rebrotadora","Mortes",""))),"")</f>
        <v/>
      </c>
      <c r="K14" s="194" t="str">
        <f>CONCATENATE("BST-",H14)</f>
        <v>BST-</v>
      </c>
      <c r="L14" s="101"/>
      <c r="M14" s="114" t="str">
        <f t="shared" ref="M14:M59" si="0">CONCATENATE("Bb&lt;2iBf-",H14)</f>
        <v>Bb&lt;2iBf-</v>
      </c>
      <c r="N14" s="101"/>
      <c r="O14" s="114" t="str">
        <f t="shared" ref="O14:O59" si="1">CONCATENATE("Bb&gt;2-",H14)</f>
        <v>Bb&gt;2-</v>
      </c>
      <c r="P14" s="101"/>
      <c r="Q14" s="105" t="str">
        <f>CONCATENATE("Bt-",H14)</f>
        <v>Bt-</v>
      </c>
      <c r="R14" s="105" t="str">
        <f>IF(J14="Vives",0,IF(J14="Mortes",((INDEX(Dades_PA!$B$45:$Y$71,(MATCH('2.2 Emissions restes tallada'!F14,Espècies,0)),(MATCH('2.2 Emissions restes tallada'!K14,Dades_PA!$B$44:$Y$44,0))))*(Dades_PA!$B$39/100)*I14),""))</f>
        <v/>
      </c>
      <c r="S14" s="105" t="str">
        <f>IF(L14="Crema",((INDEX(Dades_PA!$B$45:$Y$71,(MATCH('2.2 Emissions restes tallada'!F14,Espècies,0)),(MATCH('2.2 Emissions restes tallada'!M14,Dades_PA!$B$44:$Y$44,0))))*I14),IF(L14="Descomposició",((INDEX(Dades_PA!$B$45:$Y$71,(MATCH('2.2 Emissions restes tallada'!F14,Espècies,0)),(MATCH('2.2 Emissions restes tallada'!M14,Dades_PA!$B$44:$Y$44,0))))*(Dades_PA!$B$39/100)*I14),IF(L14="Producte",0,"")))</f>
        <v/>
      </c>
      <c r="T14" s="105" t="str">
        <f>IF(N14="Crema",((INDEX(Dades_PA!$B$45:$Y$71,(MATCH('2.2 Emissions restes tallada'!F14,Espècies,0)),(MATCH('2.2 Emissions restes tallada'!O14,Dades_PA!$B$44:$Y$44,0))))*I14),IF(N14="Descomposició",((INDEX(Dades_PA!$B$45:$Y$71,(MATCH('2.2 Emissions restes tallada'!F14,Espècies,0)),(MATCH('2.2 Emissions restes tallada'!O14,Dades_PA!$B$44:$Y$44,0))))*(Dades_PA!$B$39/100)*I14),IF(N14="Producte",0,"")))</f>
        <v/>
      </c>
      <c r="U14" s="105" t="str">
        <f>IF(P14="Crema",((INDEX(Dades_PA!$B$45:$Y$71,(MATCH('2.2 Emissions restes tallada'!F14,Espècies,0)),(MATCH('2.2 Emissions restes tallada'!Q14,Dades_PA!$B$44:$Y$44,0))))*I14),IF(P14="Descomposició",((INDEX(Dades_PA!$B$45:$Y$71,(MATCH('2.2 Emissions restes tallada'!F14,Espècies,0)),(MATCH('2.2 Emissions restes tallada'!Q14,Dades_PA!$B$44:$Y$44,0))))*(Dades_PA!$B$39/100)*I14),IF(P14="Producte",0,"")))</f>
        <v/>
      </c>
      <c r="V14" s="129" t="str">
        <f t="shared" ref="V14:V15" si="2">IF(R14="","",(SUM(R14:U14)))</f>
        <v/>
      </c>
    </row>
    <row r="15" spans="1:23" ht="15.75" customHeight="1">
      <c r="E15" s="339"/>
      <c r="F15" s="109" t="str">
        <f>IF('2.1 Absorcions arbres'!E8=0,"",'2.1 Absorcions arbres'!E8)</f>
        <v/>
      </c>
      <c r="G15" s="195" t="str">
        <f>IFERROR(VLOOKUP(F15,Dades_PA!$A$6:$H$32,8,FALSE),"")</f>
        <v/>
      </c>
      <c r="H15" s="107" t="str">
        <f>$H$14</f>
        <v/>
      </c>
      <c r="I15" s="108"/>
      <c r="J15" s="195" t="str">
        <f t="shared" ref="J15:J63" si="3">IFERROR((IF(G15="Rebrotadora","Vives",IF(G15="No rebrotadora","Mortes",""))),"")</f>
        <v/>
      </c>
      <c r="K15" s="195" t="str">
        <f t="shared" ref="K15:K63" si="4">CONCATENATE("BST-",H15)</f>
        <v>BST-</v>
      </c>
      <c r="L15" s="116"/>
      <c r="M15" s="227" t="str">
        <f t="shared" si="0"/>
        <v>Bb&lt;2iBf-</v>
      </c>
      <c r="N15" s="116"/>
      <c r="O15" s="115" t="str">
        <f t="shared" si="1"/>
        <v>Bb&gt;2-</v>
      </c>
      <c r="P15" s="116"/>
      <c r="Q15" s="109" t="str">
        <f t="shared" ref="Q15:Q63" si="5">CONCATENATE("Bt-",H15)</f>
        <v>Bt-</v>
      </c>
      <c r="R15" s="109" t="str">
        <f>IF(J15="Vives",0,IF(J15="Mortes",((INDEX(Dades_PA!$B$45:$Y$71,(MATCH('2.2 Emissions restes tallada'!F15,Espècies,0)),(MATCH('2.2 Emissions restes tallada'!K15,Dades_PA!$B$44:$Y$44,0))))*(Dades_PA!$B$39/100)*I15),""))</f>
        <v/>
      </c>
      <c r="S15" s="109" t="str">
        <f>IF(L15="Crema",((INDEX(Dades_PA!$B$45:$Y$71,(MATCH('2.2 Emissions restes tallada'!F15,Espècies,0)),(MATCH('2.2 Emissions restes tallada'!M15,Dades_PA!$B$44:$Y$44,0))))*I15),IF(L15="Descomposició",((INDEX(Dades_PA!$B$45:$Y$71,(MATCH('2.2 Emissions restes tallada'!F15,Espècies,0)),(MATCH('2.2 Emissions restes tallada'!M15,Dades_PA!$B$44:$Y$44,0))))*(Dades_PA!$B$39/100)*I15),IF(L15="Producte",0,"")))</f>
        <v/>
      </c>
      <c r="T15" s="109" t="str">
        <f>IF(N15="Crema",((INDEX(Dades_PA!$B$45:$Y$71,(MATCH('2.2 Emissions restes tallada'!F15,Espècies,0)),(MATCH('2.2 Emissions restes tallada'!O15,Dades_PA!$B$44:$Y$44,0))))*I15),IF(N15="Descomposició",((INDEX(Dades_PA!$B$45:$Y$71,(MATCH('2.2 Emissions restes tallada'!F15,Espècies,0)),(MATCH('2.2 Emissions restes tallada'!O15,Dades_PA!$B$44:$Y$44,0))))*(Dades_PA!$B$39/100)*I15),IF(N15="Producte",0,"")))</f>
        <v/>
      </c>
      <c r="U15" s="109" t="str">
        <f>IF(P15="Crema",((INDEX(Dades_PA!$B$45:$Y$71,(MATCH('2.2 Emissions restes tallada'!F15,Espècies,0)),(MATCH('2.2 Emissions restes tallada'!Q15,Dades_PA!$B$44:$Y$44,0))))*I15),IF(P15="Descomposició",((INDEX(Dades_PA!$B$45:$Y$71,(MATCH('2.2 Emissions restes tallada'!F15,Espècies,0)),(MATCH('2.2 Emissions restes tallada'!Q15,Dades_PA!$B$44:$Y$44,0))))*(Dades_PA!$B$39/100)*I15),IF(P15="Producte",0,"")))</f>
        <v/>
      </c>
      <c r="V15" s="130" t="str">
        <f t="shared" si="2"/>
        <v/>
      </c>
    </row>
    <row r="16" spans="1:23" ht="15.75" customHeight="1">
      <c r="E16" s="339"/>
      <c r="F16" s="109" t="str">
        <f>IF('2.1 Absorcions arbres'!E9=0,"",'2.1 Absorcions arbres'!E9)</f>
        <v/>
      </c>
      <c r="G16" s="195" t="str">
        <f>IFERROR(VLOOKUP(F16,Dades_PA!$A$6:$H$32,8,FALSE),"")</f>
        <v/>
      </c>
      <c r="H16" s="107" t="str">
        <f t="shared" ref="H16:H23" si="6">$H$14</f>
        <v/>
      </c>
      <c r="I16" s="108"/>
      <c r="J16" s="195" t="str">
        <f t="shared" si="3"/>
        <v/>
      </c>
      <c r="K16" s="195" t="str">
        <f t="shared" si="4"/>
        <v>BST-</v>
      </c>
      <c r="L16" s="116"/>
      <c r="M16" s="227" t="str">
        <f t="shared" si="0"/>
        <v>Bb&lt;2iBf-</v>
      </c>
      <c r="N16" s="116"/>
      <c r="O16" s="115" t="str">
        <f t="shared" si="1"/>
        <v>Bb&gt;2-</v>
      </c>
      <c r="P16" s="116"/>
      <c r="Q16" s="109" t="str">
        <f t="shared" si="5"/>
        <v>Bt-</v>
      </c>
      <c r="R16" s="109" t="str">
        <f>IF(J16="Vives",0,IF(J16="Mortes",((INDEX(Dades_PA!$B$45:$Y$71,(MATCH('2.2 Emissions restes tallada'!F16,Espècies,0)),(MATCH('2.2 Emissions restes tallada'!K16,Dades_PA!$B$44:$Y$44,0))))*(Dades_PA!$B$39/100)*I16),""))</f>
        <v/>
      </c>
      <c r="S16" s="109" t="str">
        <f>IF(L16="Crema",((INDEX(Dades_PA!$B$45:$Y$71,(MATCH('2.2 Emissions restes tallada'!F16,Espècies,0)),(MATCH('2.2 Emissions restes tallada'!M16,Dades_PA!$B$44:$Y$44,0))))*I16),IF(L16="Descomposició",((INDEX(Dades_PA!$B$45:$Y$71,(MATCH('2.2 Emissions restes tallada'!F16,Espècies,0)),(MATCH('2.2 Emissions restes tallada'!M16,Dades_PA!$B$44:$Y$44,0))))*(Dades_PA!$B$39/100)*I16),IF(L16="Producte",0,"")))</f>
        <v/>
      </c>
      <c r="T16" s="109" t="str">
        <f>IF(N16="Crema",((INDEX(Dades_PA!$B$45:$Y$71,(MATCH('2.2 Emissions restes tallada'!F16,Espècies,0)),(MATCH('2.2 Emissions restes tallada'!O16,Dades_PA!$B$44:$Y$44,0))))*I16),IF(N16="Descomposició",((INDEX(Dades_PA!$B$45:$Y$71,(MATCH('2.2 Emissions restes tallada'!F16,Espècies,0)),(MATCH('2.2 Emissions restes tallada'!O16,Dades_PA!$B$44:$Y$44,0))))*(Dades_PA!$B$39/100)*I16),IF(N16="Producte",0,"")))</f>
        <v/>
      </c>
      <c r="U16" s="109" t="str">
        <f>IF(P16="Crema",((INDEX(Dades_PA!$B$45:$Y$71,(MATCH('2.2 Emissions restes tallada'!F16,Espècies,0)),(MATCH('2.2 Emissions restes tallada'!Q16,Dades_PA!$B$44:$Y$44,0))))*I16),IF(P16="Descomposició",((INDEX(Dades_PA!$B$45:$Y$71,(MATCH('2.2 Emissions restes tallada'!F16,Espècies,0)),(MATCH('2.2 Emissions restes tallada'!Q16,Dades_PA!$B$44:$Y$44,0))))*(Dades_PA!$B$39/100)*I16),IF(P16="Producte",0,"")))</f>
        <v/>
      </c>
      <c r="V16" s="130" t="str">
        <f>IF(R16="","",(SUM(R16:U16)))</f>
        <v/>
      </c>
    </row>
    <row r="17" spans="5:22" ht="15.75" customHeight="1">
      <c r="E17" s="339"/>
      <c r="F17" s="109" t="str">
        <f>IF('2.1 Absorcions arbres'!E10=0,"",'2.1 Absorcions arbres'!E10)</f>
        <v/>
      </c>
      <c r="G17" s="195" t="str">
        <f>IFERROR(VLOOKUP(F17,Dades_PA!$A$6:$H$32,8,FALSE),"")</f>
        <v/>
      </c>
      <c r="H17" s="107" t="str">
        <f t="shared" si="6"/>
        <v/>
      </c>
      <c r="I17" s="108"/>
      <c r="J17" s="195" t="str">
        <f t="shared" si="3"/>
        <v/>
      </c>
      <c r="K17" s="195" t="str">
        <f t="shared" si="4"/>
        <v>BST-</v>
      </c>
      <c r="L17" s="116"/>
      <c r="M17" s="227" t="str">
        <f t="shared" si="0"/>
        <v>Bb&lt;2iBf-</v>
      </c>
      <c r="N17" s="116"/>
      <c r="O17" s="115" t="str">
        <f t="shared" si="1"/>
        <v>Bb&gt;2-</v>
      </c>
      <c r="P17" s="116"/>
      <c r="Q17" s="109" t="str">
        <f t="shared" si="5"/>
        <v>Bt-</v>
      </c>
      <c r="R17" s="109" t="str">
        <f>IF(J17="Vives",0,IF(J17="Mortes",((INDEX(Dades_PA!$B$45:$Y$71,(MATCH('2.2 Emissions restes tallada'!F17,Espècies,0)),(MATCH('2.2 Emissions restes tallada'!K17,Dades_PA!$B$44:$Y$44,0))))*(Dades_PA!$B$39/100)*I17),""))</f>
        <v/>
      </c>
      <c r="S17" s="109" t="str">
        <f>IF(L17="Crema",((INDEX(Dades_PA!$B$45:$Y$71,(MATCH('2.2 Emissions restes tallada'!F17,Espècies,0)),(MATCH('2.2 Emissions restes tallada'!M17,Dades_PA!$B$44:$Y$44,0))))*I17),IF(L17="Descomposició",((INDEX(Dades_PA!$B$45:$Y$71,(MATCH('2.2 Emissions restes tallada'!F17,Espècies,0)),(MATCH('2.2 Emissions restes tallada'!M17,Dades_PA!$B$44:$Y$44,0))))*(Dades_PA!$B$39/100)*I17),IF(L17="Producte",0,"")))</f>
        <v/>
      </c>
      <c r="T17" s="109" t="str">
        <f>IF(N17="Crema",((INDEX(Dades_PA!$B$45:$Y$71,(MATCH('2.2 Emissions restes tallada'!F17,Espècies,0)),(MATCH('2.2 Emissions restes tallada'!O17,Dades_PA!$B$44:$Y$44,0))))*I17),IF(N17="Descomposició",((INDEX(Dades_PA!$B$45:$Y$71,(MATCH('2.2 Emissions restes tallada'!F17,Espècies,0)),(MATCH('2.2 Emissions restes tallada'!O17,Dades_PA!$B$44:$Y$44,0))))*(Dades_PA!$B$39/100)*I17),IF(N17="Producte",0,"")))</f>
        <v/>
      </c>
      <c r="U17" s="109" t="str">
        <f>IF(P17="Crema",((INDEX(Dades_PA!$B$45:$Y$71,(MATCH('2.2 Emissions restes tallada'!F17,Espècies,0)),(MATCH('2.2 Emissions restes tallada'!Q17,Dades_PA!$B$44:$Y$44,0))))*I17),IF(P17="Descomposició",((INDEX(Dades_PA!$B$45:$Y$71,(MATCH('2.2 Emissions restes tallada'!F17,Espècies,0)),(MATCH('2.2 Emissions restes tallada'!Q17,Dades_PA!$B$44:$Y$44,0))))*(Dades_PA!$B$39/100)*I17),IF(P17="Producte",0,"")))</f>
        <v/>
      </c>
      <c r="V17" s="130" t="str">
        <f t="shared" ref="V17:V63" si="7">IF(R17="","",(SUM(R17:U17)))</f>
        <v/>
      </c>
    </row>
    <row r="18" spans="5:22" ht="15.75" customHeight="1">
      <c r="E18" s="339"/>
      <c r="F18" s="109" t="str">
        <f>IF('2.1 Absorcions arbres'!E11=0,"",'2.1 Absorcions arbres'!E11)</f>
        <v/>
      </c>
      <c r="G18" s="195" t="str">
        <f>IFERROR(VLOOKUP(F18,Dades_PA!$A$6:$H$32,8,FALSE),"")</f>
        <v/>
      </c>
      <c r="H18" s="107" t="str">
        <f t="shared" si="6"/>
        <v/>
      </c>
      <c r="I18" s="108"/>
      <c r="J18" s="195" t="str">
        <f t="shared" si="3"/>
        <v/>
      </c>
      <c r="K18" s="195" t="str">
        <f t="shared" si="4"/>
        <v>BST-</v>
      </c>
      <c r="L18" s="116"/>
      <c r="M18" s="227" t="str">
        <f t="shared" si="0"/>
        <v>Bb&lt;2iBf-</v>
      </c>
      <c r="N18" s="116"/>
      <c r="O18" s="115" t="str">
        <f t="shared" si="1"/>
        <v>Bb&gt;2-</v>
      </c>
      <c r="P18" s="116"/>
      <c r="Q18" s="109" t="str">
        <f t="shared" si="5"/>
        <v>Bt-</v>
      </c>
      <c r="R18" s="109" t="str">
        <f>IF(J18="Vives",0,IF(J18="Mortes",((INDEX(Dades_PA!$B$45:$Y$71,(MATCH('2.2 Emissions restes tallada'!F18,Espècies,0)),(MATCH('2.2 Emissions restes tallada'!K18,Dades_PA!$B$44:$Y$44,0))))*(Dades_PA!$B$39/100)*I18),""))</f>
        <v/>
      </c>
      <c r="S18" s="109" t="str">
        <f>IF(L18="Crema",((INDEX(Dades_PA!$B$45:$Y$71,(MATCH('2.2 Emissions restes tallada'!F18,Espècies,0)),(MATCH('2.2 Emissions restes tallada'!M18,Dades_PA!$B$44:$Y$44,0))))*I18),IF(L18="Descomposició",((INDEX(Dades_PA!$B$45:$Y$71,(MATCH('2.2 Emissions restes tallada'!F18,Espècies,0)),(MATCH('2.2 Emissions restes tallada'!M18,Dades_PA!$B$44:$Y$44,0))))*(Dades_PA!$B$39/100)*I18),IF(L18="Producte",0,"")))</f>
        <v/>
      </c>
      <c r="T18" s="109" t="str">
        <f>IF(N18="Crema",((INDEX(Dades_PA!$B$45:$Y$71,(MATCH('2.2 Emissions restes tallada'!F18,Espècies,0)),(MATCH('2.2 Emissions restes tallada'!O18,Dades_PA!$B$44:$Y$44,0))))*I18),IF(N18="Descomposició",((INDEX(Dades_PA!$B$45:$Y$71,(MATCH('2.2 Emissions restes tallada'!F18,Espècies,0)),(MATCH('2.2 Emissions restes tallada'!O18,Dades_PA!$B$44:$Y$44,0))))*(Dades_PA!$B$39/100)*I18),IF(N18="Producte",0,"")))</f>
        <v/>
      </c>
      <c r="U18" s="109" t="str">
        <f>IF(P18="Crema",((INDEX(Dades_PA!$B$45:$Y$71,(MATCH('2.2 Emissions restes tallada'!F18,Espècies,0)),(MATCH('2.2 Emissions restes tallada'!Q18,Dades_PA!$B$44:$Y$44,0))))*I18),IF(P18="Descomposició",((INDEX(Dades_PA!$B$45:$Y$71,(MATCH('2.2 Emissions restes tallada'!F18,Espècies,0)),(MATCH('2.2 Emissions restes tallada'!Q18,Dades_PA!$B$44:$Y$44,0))))*(Dades_PA!$B$39/100)*I18),IF(P18="Producte",0,"")))</f>
        <v/>
      </c>
      <c r="V18" s="130" t="str">
        <f t="shared" si="7"/>
        <v/>
      </c>
    </row>
    <row r="19" spans="5:22" ht="15.75" customHeight="1">
      <c r="E19" s="339"/>
      <c r="F19" s="109" t="str">
        <f>IF('2.1 Absorcions arbres'!E12=0,"",'2.1 Absorcions arbres'!E12)</f>
        <v/>
      </c>
      <c r="G19" s="195" t="str">
        <f>IFERROR(VLOOKUP(F19,Dades_PA!$A$6:$H$32,8,FALSE),"")</f>
        <v/>
      </c>
      <c r="H19" s="107" t="str">
        <f t="shared" si="6"/>
        <v/>
      </c>
      <c r="I19" s="108"/>
      <c r="J19" s="195" t="str">
        <f t="shared" si="3"/>
        <v/>
      </c>
      <c r="K19" s="195" t="str">
        <f t="shared" si="4"/>
        <v>BST-</v>
      </c>
      <c r="L19" s="116"/>
      <c r="M19" s="227" t="str">
        <f t="shared" si="0"/>
        <v>Bb&lt;2iBf-</v>
      </c>
      <c r="N19" s="116"/>
      <c r="O19" s="115" t="str">
        <f t="shared" si="1"/>
        <v>Bb&gt;2-</v>
      </c>
      <c r="P19" s="116"/>
      <c r="Q19" s="109" t="str">
        <f t="shared" si="5"/>
        <v>Bt-</v>
      </c>
      <c r="R19" s="109" t="str">
        <f>IF(J19="Vives",0,IF(J19="Mortes",((INDEX(Dades_PA!$B$45:$Y$71,(MATCH('2.2 Emissions restes tallada'!F19,Espècies,0)),(MATCH('2.2 Emissions restes tallada'!K19,Dades_PA!$B$44:$Y$44,0))))*(Dades_PA!$B$39/100)*I19),""))</f>
        <v/>
      </c>
      <c r="S19" s="109" t="str">
        <f>IF(L19="Crema",((INDEX(Dades_PA!$B$45:$Y$71,(MATCH('2.2 Emissions restes tallada'!F19,Espècies,0)),(MATCH('2.2 Emissions restes tallada'!M19,Dades_PA!$B$44:$Y$44,0))))*I19),IF(L19="Descomposició",((INDEX(Dades_PA!$B$45:$Y$71,(MATCH('2.2 Emissions restes tallada'!F19,Espècies,0)),(MATCH('2.2 Emissions restes tallada'!M19,Dades_PA!$B$44:$Y$44,0))))*(Dades_PA!$B$39/100)*I19),IF(L19="Producte",0,"")))</f>
        <v/>
      </c>
      <c r="T19" s="109" t="str">
        <f>IF(N19="Crema",((INDEX(Dades_PA!$B$45:$Y$71,(MATCH('2.2 Emissions restes tallada'!F19,Espècies,0)),(MATCH('2.2 Emissions restes tallada'!O19,Dades_PA!$B$44:$Y$44,0))))*I19),IF(N19="Descomposició",((INDEX(Dades_PA!$B$45:$Y$71,(MATCH('2.2 Emissions restes tallada'!F19,Espècies,0)),(MATCH('2.2 Emissions restes tallada'!O19,Dades_PA!$B$44:$Y$44,0))))*(Dades_PA!$B$39/100)*I19),IF(N19="Producte",0,"")))</f>
        <v/>
      </c>
      <c r="U19" s="109" t="str">
        <f>IF(P19="Crema",((INDEX(Dades_PA!$B$45:$Y$71,(MATCH('2.2 Emissions restes tallada'!F19,Espècies,0)),(MATCH('2.2 Emissions restes tallada'!Q19,Dades_PA!$B$44:$Y$44,0))))*I19),IF(P19="Descomposició",((INDEX(Dades_PA!$B$45:$Y$71,(MATCH('2.2 Emissions restes tallada'!F19,Espècies,0)),(MATCH('2.2 Emissions restes tallada'!Q19,Dades_PA!$B$44:$Y$44,0))))*(Dades_PA!$B$39/100)*I19),IF(P19="Producte",0,"")))</f>
        <v/>
      </c>
      <c r="V19" s="130" t="str">
        <f t="shared" si="7"/>
        <v/>
      </c>
    </row>
    <row r="20" spans="5:22" ht="15.75" customHeight="1">
      <c r="E20" s="339"/>
      <c r="F20" s="109" t="str">
        <f>IF('2.1 Absorcions arbres'!E13=0,"",'2.1 Absorcions arbres'!E13)</f>
        <v/>
      </c>
      <c r="G20" s="195" t="str">
        <f>IFERROR(VLOOKUP(F20,Dades_PA!$A$6:$H$32,8,FALSE),"")</f>
        <v/>
      </c>
      <c r="H20" s="107" t="str">
        <f t="shared" si="6"/>
        <v/>
      </c>
      <c r="I20" s="108"/>
      <c r="J20" s="195" t="str">
        <f t="shared" si="3"/>
        <v/>
      </c>
      <c r="K20" s="195" t="str">
        <f t="shared" si="4"/>
        <v>BST-</v>
      </c>
      <c r="L20" s="116"/>
      <c r="M20" s="227" t="str">
        <f t="shared" si="0"/>
        <v>Bb&lt;2iBf-</v>
      </c>
      <c r="N20" s="116"/>
      <c r="O20" s="115" t="str">
        <f t="shared" si="1"/>
        <v>Bb&gt;2-</v>
      </c>
      <c r="P20" s="116"/>
      <c r="Q20" s="109" t="str">
        <f t="shared" si="5"/>
        <v>Bt-</v>
      </c>
      <c r="R20" s="109" t="str">
        <f>IF(J20="Vives",0,IF(J20="Mortes",((INDEX(Dades_PA!$B$45:$Y$71,(MATCH('2.2 Emissions restes tallada'!F20,Espècies,0)),(MATCH('2.2 Emissions restes tallada'!K20,Dades_PA!$B$44:$Y$44,0))))*(Dades_PA!$B$39/100)*I20),""))</f>
        <v/>
      </c>
      <c r="S20" s="109" t="str">
        <f>IF(L20="Crema",((INDEX(Dades_PA!$B$45:$Y$71,(MATCH('2.2 Emissions restes tallada'!F20,Espècies,0)),(MATCH('2.2 Emissions restes tallada'!M20,Dades_PA!$B$44:$Y$44,0))))*I20),IF(L20="Descomposició",((INDEX(Dades_PA!$B$45:$Y$71,(MATCH('2.2 Emissions restes tallada'!F20,Espècies,0)),(MATCH('2.2 Emissions restes tallada'!M20,Dades_PA!$B$44:$Y$44,0))))*(Dades_PA!$B$39/100)*I20),IF(L20="Producte",0,"")))</f>
        <v/>
      </c>
      <c r="T20" s="109" t="str">
        <f>IF(N20="Crema",((INDEX(Dades_PA!$B$45:$Y$71,(MATCH('2.2 Emissions restes tallada'!F20,Espècies,0)),(MATCH('2.2 Emissions restes tallada'!O20,Dades_PA!$B$44:$Y$44,0))))*I20),IF(N20="Descomposició",((INDEX(Dades_PA!$B$45:$Y$71,(MATCH('2.2 Emissions restes tallada'!F20,Espècies,0)),(MATCH('2.2 Emissions restes tallada'!O20,Dades_PA!$B$44:$Y$44,0))))*(Dades_PA!$B$39/100)*I20),IF(N20="Producte",0,"")))</f>
        <v/>
      </c>
      <c r="U20" s="109" t="str">
        <f>IF(P20="Crema",((INDEX(Dades_PA!$B$45:$Y$71,(MATCH('2.2 Emissions restes tallada'!F20,Espècies,0)),(MATCH('2.2 Emissions restes tallada'!Q20,Dades_PA!$B$44:$Y$44,0))))*I20),IF(P20="Descomposició",((INDEX(Dades_PA!$B$45:$Y$71,(MATCH('2.2 Emissions restes tallada'!F20,Espècies,0)),(MATCH('2.2 Emissions restes tallada'!Q20,Dades_PA!$B$44:$Y$44,0))))*(Dades_PA!$B$39/100)*I20),IF(P20="Producte",0,"")))</f>
        <v/>
      </c>
      <c r="V20" s="130" t="str">
        <f t="shared" si="7"/>
        <v/>
      </c>
    </row>
    <row r="21" spans="5:22" ht="15.75" customHeight="1">
      <c r="E21" s="339"/>
      <c r="F21" s="109" t="str">
        <f>IF('2.1 Absorcions arbres'!E14=0,"",'2.1 Absorcions arbres'!E14)</f>
        <v/>
      </c>
      <c r="G21" s="195" t="str">
        <f>IFERROR(VLOOKUP(F21,Dades_PA!$A$6:$H$32,8,FALSE),"")</f>
        <v/>
      </c>
      <c r="H21" s="107" t="str">
        <f t="shared" si="6"/>
        <v/>
      </c>
      <c r="I21" s="108"/>
      <c r="J21" s="195" t="str">
        <f t="shared" si="3"/>
        <v/>
      </c>
      <c r="K21" s="195" t="str">
        <f t="shared" si="4"/>
        <v>BST-</v>
      </c>
      <c r="L21" s="116"/>
      <c r="M21" s="227" t="str">
        <f t="shared" si="0"/>
        <v>Bb&lt;2iBf-</v>
      </c>
      <c r="N21" s="116"/>
      <c r="O21" s="115" t="str">
        <f t="shared" si="1"/>
        <v>Bb&gt;2-</v>
      </c>
      <c r="P21" s="116"/>
      <c r="Q21" s="109" t="str">
        <f t="shared" si="5"/>
        <v>Bt-</v>
      </c>
      <c r="R21" s="109" t="str">
        <f>IF(J21="Vives",0,IF(J21="Mortes",((INDEX(Dades_PA!$B$45:$Y$71,(MATCH('2.2 Emissions restes tallada'!F21,Espècies,0)),(MATCH('2.2 Emissions restes tallada'!K21,Dades_PA!$B$44:$Y$44,0))))*(Dades_PA!$B$39/100)*I21),""))</f>
        <v/>
      </c>
      <c r="S21" s="109" t="str">
        <f>IF(L21="Crema",((INDEX(Dades_PA!$B$45:$Y$71,(MATCH('2.2 Emissions restes tallada'!F21,Espècies,0)),(MATCH('2.2 Emissions restes tallada'!M21,Dades_PA!$B$44:$Y$44,0))))*I21),IF(L21="Descomposició",((INDEX(Dades_PA!$B$45:$Y$71,(MATCH('2.2 Emissions restes tallada'!F21,Espècies,0)),(MATCH('2.2 Emissions restes tallada'!M21,Dades_PA!$B$44:$Y$44,0))))*(Dades_PA!$B$39/100)*I21),IF(L21="Producte",0,"")))</f>
        <v/>
      </c>
      <c r="T21" s="109" t="str">
        <f>IF(N21="Crema",((INDEX(Dades_PA!$B$45:$Y$71,(MATCH('2.2 Emissions restes tallada'!F21,Espècies,0)),(MATCH('2.2 Emissions restes tallada'!O21,Dades_PA!$B$44:$Y$44,0))))*I21),IF(N21="Descomposició",((INDEX(Dades_PA!$B$45:$Y$71,(MATCH('2.2 Emissions restes tallada'!F21,Espècies,0)),(MATCH('2.2 Emissions restes tallada'!O21,Dades_PA!$B$44:$Y$44,0))))*(Dades_PA!$B$39/100)*I21),IF(N21="Producte",0,"")))</f>
        <v/>
      </c>
      <c r="U21" s="109" t="str">
        <f>IF(P21="Crema",((INDEX(Dades_PA!$B$45:$Y$71,(MATCH('2.2 Emissions restes tallada'!F21,Espècies,0)),(MATCH('2.2 Emissions restes tallada'!Q21,Dades_PA!$B$44:$Y$44,0))))*I21),IF(P21="Descomposició",((INDEX(Dades_PA!$B$45:$Y$71,(MATCH('2.2 Emissions restes tallada'!F21,Espècies,0)),(MATCH('2.2 Emissions restes tallada'!Q21,Dades_PA!$B$44:$Y$44,0))))*(Dades_PA!$B$39/100)*I21),IF(P21="Producte",0,"")))</f>
        <v/>
      </c>
      <c r="V21" s="130" t="str">
        <f t="shared" si="7"/>
        <v/>
      </c>
    </row>
    <row r="22" spans="5:22" ht="15.75" customHeight="1">
      <c r="E22" s="339"/>
      <c r="F22" s="109" t="str">
        <f>IF('2.1 Absorcions arbres'!E15=0,"",'2.1 Absorcions arbres'!E15)</f>
        <v/>
      </c>
      <c r="G22" s="195" t="str">
        <f>IFERROR(VLOOKUP(F22,Dades_PA!$A$6:$H$32,8,FALSE),"")</f>
        <v/>
      </c>
      <c r="H22" s="107" t="str">
        <f t="shared" si="6"/>
        <v/>
      </c>
      <c r="I22" s="108"/>
      <c r="J22" s="195" t="str">
        <f t="shared" si="3"/>
        <v/>
      </c>
      <c r="K22" s="195" t="str">
        <f t="shared" si="4"/>
        <v>BST-</v>
      </c>
      <c r="L22" s="116"/>
      <c r="M22" s="227" t="str">
        <f t="shared" si="0"/>
        <v>Bb&lt;2iBf-</v>
      </c>
      <c r="N22" s="116"/>
      <c r="O22" s="115" t="str">
        <f t="shared" si="1"/>
        <v>Bb&gt;2-</v>
      </c>
      <c r="P22" s="116"/>
      <c r="Q22" s="109" t="str">
        <f t="shared" si="5"/>
        <v>Bt-</v>
      </c>
      <c r="R22" s="109" t="str">
        <f>IF(J22="Vives",0,IF(J22="Mortes",((INDEX(Dades_PA!$B$45:$Y$71,(MATCH('2.2 Emissions restes tallada'!F22,Espècies,0)),(MATCH('2.2 Emissions restes tallada'!K22,Dades_PA!$B$44:$Y$44,0))))*(Dades_PA!$B$39/100)*I22),""))</f>
        <v/>
      </c>
      <c r="S22" s="109" t="str">
        <f>IF(L22="Crema",((INDEX(Dades_PA!$B$45:$Y$71,(MATCH('2.2 Emissions restes tallada'!F22,Espècies,0)),(MATCH('2.2 Emissions restes tallada'!M22,Dades_PA!$B$44:$Y$44,0))))*I22),IF(L22="Descomposició",((INDEX(Dades_PA!$B$45:$Y$71,(MATCH('2.2 Emissions restes tallada'!F22,Espècies,0)),(MATCH('2.2 Emissions restes tallada'!M22,Dades_PA!$B$44:$Y$44,0))))*(Dades_PA!$B$39/100)*I22),IF(L22="Producte",0,"")))</f>
        <v/>
      </c>
      <c r="T22" s="109" t="str">
        <f>IF(N22="Crema",((INDEX(Dades_PA!$B$45:$Y$71,(MATCH('2.2 Emissions restes tallada'!F22,Espècies,0)),(MATCH('2.2 Emissions restes tallada'!O22,Dades_PA!$B$44:$Y$44,0))))*I22),IF(N22="Descomposició",((INDEX(Dades_PA!$B$45:$Y$71,(MATCH('2.2 Emissions restes tallada'!F22,Espècies,0)),(MATCH('2.2 Emissions restes tallada'!O22,Dades_PA!$B$44:$Y$44,0))))*(Dades_PA!$B$39/100)*I22),IF(N22="Producte",0,"")))</f>
        <v/>
      </c>
      <c r="U22" s="109" t="str">
        <f>IF(P22="Crema",((INDEX(Dades_PA!$B$45:$Y$71,(MATCH('2.2 Emissions restes tallada'!F22,Espècies,0)),(MATCH('2.2 Emissions restes tallada'!Q22,Dades_PA!$B$44:$Y$44,0))))*I22),IF(P22="Descomposició",((INDEX(Dades_PA!$B$45:$Y$71,(MATCH('2.2 Emissions restes tallada'!F22,Espècies,0)),(MATCH('2.2 Emissions restes tallada'!Q22,Dades_PA!$B$44:$Y$44,0))))*(Dades_PA!$B$39/100)*I22),IF(P22="Producte",0,"")))</f>
        <v/>
      </c>
      <c r="V22" s="130" t="str">
        <f t="shared" si="7"/>
        <v/>
      </c>
    </row>
    <row r="23" spans="5:22" ht="15.75" customHeight="1" thickBot="1">
      <c r="E23" s="340"/>
      <c r="F23" s="113" t="str">
        <f>IF('2.1 Absorcions arbres'!E16=0,"",'2.1 Absorcions arbres'!E16)</f>
        <v/>
      </c>
      <c r="G23" s="196" t="str">
        <f>IFERROR(VLOOKUP(F23,Dades_PA!$A$6:$H$32,8,FALSE),"")</f>
        <v/>
      </c>
      <c r="H23" s="111" t="str">
        <f t="shared" si="6"/>
        <v/>
      </c>
      <c r="I23" s="112"/>
      <c r="J23" s="196" t="str">
        <f t="shared" si="3"/>
        <v/>
      </c>
      <c r="K23" s="196" t="str">
        <f t="shared" si="4"/>
        <v>BST-</v>
      </c>
      <c r="L23" s="118"/>
      <c r="M23" s="240" t="str">
        <f t="shared" si="0"/>
        <v>Bb&lt;2iBf-</v>
      </c>
      <c r="N23" s="118"/>
      <c r="O23" s="117" t="str">
        <f t="shared" si="1"/>
        <v>Bb&gt;2-</v>
      </c>
      <c r="P23" s="118"/>
      <c r="Q23" s="113" t="str">
        <f t="shared" si="5"/>
        <v>Bt-</v>
      </c>
      <c r="R23" s="113" t="str">
        <f>IF(J23="Vives",0,IF(J23="Mortes",((INDEX(Dades_PA!$B$45:$Y$71,(MATCH('2.2 Emissions restes tallada'!F23,Espècies,0)),(MATCH('2.2 Emissions restes tallada'!K23,Dades_PA!$B$44:$Y$44,0))))*(Dades_PA!$B$39/100)*I23),""))</f>
        <v/>
      </c>
      <c r="S23" s="113" t="str">
        <f>IF(L23="Crema",((INDEX(Dades_PA!$B$45:$Y$71,(MATCH('2.2 Emissions restes tallada'!F23,Espècies,0)),(MATCH('2.2 Emissions restes tallada'!M23,Dades_PA!$B$44:$Y$44,0))))*I23),IF(L23="Descomposició",((INDEX(Dades_PA!$B$45:$Y$71,(MATCH('2.2 Emissions restes tallada'!F23,Espècies,0)),(MATCH('2.2 Emissions restes tallada'!M23,Dades_PA!$B$44:$Y$44,0))))*(Dades_PA!$B$39/100)*I23),IF(L23="Producte",0,"")))</f>
        <v/>
      </c>
      <c r="T23" s="113" t="str">
        <f>IF(N23="Crema",((INDEX(Dades_PA!$B$45:$Y$71,(MATCH('2.2 Emissions restes tallada'!F23,Espècies,0)),(MATCH('2.2 Emissions restes tallada'!O23,Dades_PA!$B$44:$Y$44,0))))*I23),IF(N23="Descomposició",((INDEX(Dades_PA!$B$45:$Y$71,(MATCH('2.2 Emissions restes tallada'!F23,Espècies,0)),(MATCH('2.2 Emissions restes tallada'!O23,Dades_PA!$B$44:$Y$44,0))))*(Dades_PA!$B$39/100)*I23),IF(N23="Producte",0,"")))</f>
        <v/>
      </c>
      <c r="U23" s="113" t="str">
        <f>IF(P23="Crema",((INDEX(Dades_PA!$B$45:$Y$71,(MATCH('2.2 Emissions restes tallada'!F23,Espècies,0)),(MATCH('2.2 Emissions restes tallada'!Q23,Dades_PA!$B$44:$Y$44,0))))*I23),IF(P23="Descomposició",((INDEX(Dades_PA!$B$45:$Y$71,(MATCH('2.2 Emissions restes tallada'!F23,Espècies,0)),(MATCH('2.2 Emissions restes tallada'!Q23,Dades_PA!$B$44:$Y$44,0))))*(Dades_PA!$B$39/100)*I23),IF(P23="Producte",0,"")))</f>
        <v/>
      </c>
      <c r="V23" s="131" t="str">
        <f t="shared" si="7"/>
        <v/>
      </c>
    </row>
    <row r="24" spans="5:22" ht="15.75" customHeight="1">
      <c r="E24" s="338" t="str">
        <f>IF(('1. Dades generals del projecte'!D31)="","",('1. Dades generals del projecte'!D31))</f>
        <v/>
      </c>
      <c r="F24" s="105" t="str">
        <f>IF('2.1 Absorcions arbres'!E17=0,"",'2.1 Absorcions arbres'!E17)</f>
        <v/>
      </c>
      <c r="G24" s="194" t="str">
        <f>IFERROR(VLOOKUP(F24,Dades_PA!$A$6:$H$32,8,FALSE),"")</f>
        <v/>
      </c>
      <c r="H24" s="103" t="str">
        <f>IF(('2.1 Absorcions arbres'!H17&gt;0),('2.1 Absorcions arbres'!H17),"")</f>
        <v/>
      </c>
      <c r="I24" s="104"/>
      <c r="J24" s="194" t="str">
        <f t="shared" si="3"/>
        <v/>
      </c>
      <c r="K24" s="194" t="str">
        <f t="shared" si="4"/>
        <v>BST-</v>
      </c>
      <c r="L24" s="101"/>
      <c r="M24" s="114" t="str">
        <f t="shared" si="0"/>
        <v>Bb&lt;2iBf-</v>
      </c>
      <c r="N24" s="101"/>
      <c r="O24" s="114" t="str">
        <f t="shared" si="1"/>
        <v>Bb&gt;2-</v>
      </c>
      <c r="P24" s="101"/>
      <c r="Q24" s="105" t="str">
        <f t="shared" si="5"/>
        <v>Bt-</v>
      </c>
      <c r="R24" s="105" t="str">
        <f>IF(J24="Vives",0,IF(J24="Mortes",((INDEX(Dades_PA!$B$45:$Y$71,(MATCH('2.2 Emissions restes tallada'!F24,Espècies,0)),(MATCH('2.2 Emissions restes tallada'!K24,Dades_PA!$B$44:$Y$44,0))))*(Dades_PA!$B$39/100)*I24),""))</f>
        <v/>
      </c>
      <c r="S24" s="105" t="str">
        <f>IF(L24="Crema",((INDEX(Dades_PA!$B$45:$Y$71,(MATCH('2.2 Emissions restes tallada'!F24,Espècies,0)),(MATCH('2.2 Emissions restes tallada'!M24,Dades_PA!$B$44:$Y$44,0))))*I24),IF(L24="Descomposició",((INDEX(Dades_PA!$B$45:$Y$71,(MATCH('2.2 Emissions restes tallada'!F24,Espècies,0)),(MATCH('2.2 Emissions restes tallada'!M24,Dades_PA!$B$44:$Y$44,0))))*(Dades_PA!$B$39/100)*I24),IF(L24="Producte",0,"")))</f>
        <v/>
      </c>
      <c r="T24" s="105" t="str">
        <f>IF(N24="Crema",((INDEX(Dades_PA!$B$45:$Y$71,(MATCH('2.2 Emissions restes tallada'!F24,Espècies,0)),(MATCH('2.2 Emissions restes tallada'!O24,Dades_PA!$B$44:$Y$44,0))))*I24),IF(N24="Descomposició",((INDEX(Dades_PA!$B$45:$Y$71,(MATCH('2.2 Emissions restes tallada'!F24,Espècies,0)),(MATCH('2.2 Emissions restes tallada'!O24,Dades_PA!$B$44:$Y$44,0))))*(Dades_PA!$B$39/100)*I24),IF(N24="Producte",0,"")))</f>
        <v/>
      </c>
      <c r="U24" s="105" t="str">
        <f>IF(P24="Crema",((INDEX(Dades_PA!$B$45:$Y$71,(MATCH('2.2 Emissions restes tallada'!F24,Espècies,0)),(MATCH('2.2 Emissions restes tallada'!Q24,Dades_PA!$B$44:$Y$44,0))))*I24),IF(P24="Descomposició",((INDEX(Dades_PA!$B$45:$Y$71,(MATCH('2.2 Emissions restes tallada'!F24,Espècies,0)),(MATCH('2.2 Emissions restes tallada'!Q24,Dades_PA!$B$44:$Y$44,0))))*(Dades_PA!$B$39/100)*I24),IF(P24="Producte",0,"")))</f>
        <v/>
      </c>
      <c r="V24" s="129" t="str">
        <f t="shared" si="7"/>
        <v/>
      </c>
    </row>
    <row r="25" spans="5:22" ht="15.75" customHeight="1">
      <c r="E25" s="339"/>
      <c r="F25" s="109" t="str">
        <f>IF('2.1 Absorcions arbres'!E18=0,"",'2.1 Absorcions arbres'!E18)</f>
        <v/>
      </c>
      <c r="G25" s="195" t="str">
        <f>IFERROR(VLOOKUP(F25,Dades_PA!$A$6:$H$32,8,FALSE),"")</f>
        <v/>
      </c>
      <c r="H25" s="107" t="str">
        <f>$H$24</f>
        <v/>
      </c>
      <c r="I25" s="108"/>
      <c r="J25" s="195" t="str">
        <f t="shared" si="3"/>
        <v/>
      </c>
      <c r="K25" s="195" t="str">
        <f t="shared" si="4"/>
        <v>BST-</v>
      </c>
      <c r="L25" s="116"/>
      <c r="M25" s="227" t="str">
        <f t="shared" si="0"/>
        <v>Bb&lt;2iBf-</v>
      </c>
      <c r="N25" s="116"/>
      <c r="O25" s="115" t="str">
        <f t="shared" si="1"/>
        <v>Bb&gt;2-</v>
      </c>
      <c r="P25" s="116"/>
      <c r="Q25" s="109" t="str">
        <f t="shared" si="5"/>
        <v>Bt-</v>
      </c>
      <c r="R25" s="109" t="str">
        <f>IF(J25="Vives",0,IF(J25="Mortes",((INDEX(Dades_PA!$B$45:$Y$71,(MATCH('2.2 Emissions restes tallada'!F25,Espècies,0)),(MATCH('2.2 Emissions restes tallada'!K25,Dades_PA!$B$44:$Y$44,0))))*(Dades_PA!$B$39/100)*I25),""))</f>
        <v/>
      </c>
      <c r="S25" s="109" t="str">
        <f>IF(L25="Crema",((INDEX(Dades_PA!$B$45:$Y$71,(MATCH('2.2 Emissions restes tallada'!F25,Espècies,0)),(MATCH('2.2 Emissions restes tallada'!M25,Dades_PA!$B$44:$Y$44,0))))*I25),IF(L25="Descomposició",((INDEX(Dades_PA!$B$45:$Y$71,(MATCH('2.2 Emissions restes tallada'!F25,Espècies,0)),(MATCH('2.2 Emissions restes tallada'!M25,Dades_PA!$B$44:$Y$44,0))))*(Dades_PA!$B$39/100)*I25),IF(L25="Producte",0,"")))</f>
        <v/>
      </c>
      <c r="T25" s="109" t="str">
        <f>IF(N25="Crema",((INDEX(Dades_PA!$B$45:$Y$71,(MATCH('2.2 Emissions restes tallada'!F25,Espècies,0)),(MATCH('2.2 Emissions restes tallada'!O25,Dades_PA!$B$44:$Y$44,0))))*I25),IF(N25="Descomposició",((INDEX(Dades_PA!$B$45:$Y$71,(MATCH('2.2 Emissions restes tallada'!F25,Espècies,0)),(MATCH('2.2 Emissions restes tallada'!O25,Dades_PA!$B$44:$Y$44,0))))*(Dades_PA!$B$39/100)*I25),IF(N25="Producte",0,"")))</f>
        <v/>
      </c>
      <c r="U25" s="109" t="str">
        <f>IF(P25="Crema",((INDEX(Dades_PA!$B$45:$Y$71,(MATCH('2.2 Emissions restes tallada'!F25,Espècies,0)),(MATCH('2.2 Emissions restes tallada'!Q25,Dades_PA!$B$44:$Y$44,0))))*I25),IF(P25="Descomposició",((INDEX(Dades_PA!$B$45:$Y$71,(MATCH('2.2 Emissions restes tallada'!F25,Espècies,0)),(MATCH('2.2 Emissions restes tallada'!Q25,Dades_PA!$B$44:$Y$44,0))))*(Dades_PA!$B$39/100)*I25),IF(P25="Producte",0,"")))</f>
        <v/>
      </c>
      <c r="V25" s="130" t="str">
        <f t="shared" si="7"/>
        <v/>
      </c>
    </row>
    <row r="26" spans="5:22" ht="15.75" customHeight="1">
      <c r="E26" s="339"/>
      <c r="F26" s="109" t="str">
        <f>IF('2.1 Absorcions arbres'!E19=0,"",'2.1 Absorcions arbres'!E19)</f>
        <v/>
      </c>
      <c r="G26" s="195" t="str">
        <f>IFERROR(VLOOKUP(F26,Dades_PA!$A$6:$H$32,8,FALSE),"")</f>
        <v/>
      </c>
      <c r="H26" s="107" t="str">
        <f t="shared" ref="H26:H33" si="8">$H$24</f>
        <v/>
      </c>
      <c r="I26" s="108"/>
      <c r="J26" s="195" t="str">
        <f t="shared" si="3"/>
        <v/>
      </c>
      <c r="K26" s="195" t="str">
        <f t="shared" si="4"/>
        <v>BST-</v>
      </c>
      <c r="L26" s="116"/>
      <c r="M26" s="227" t="str">
        <f t="shared" si="0"/>
        <v>Bb&lt;2iBf-</v>
      </c>
      <c r="N26" s="116"/>
      <c r="O26" s="115" t="str">
        <f t="shared" si="1"/>
        <v>Bb&gt;2-</v>
      </c>
      <c r="P26" s="116"/>
      <c r="Q26" s="109" t="str">
        <f t="shared" si="5"/>
        <v>Bt-</v>
      </c>
      <c r="R26" s="109" t="str">
        <f>IF(J26="Vives",0,IF(J26="Mortes",((INDEX(Dades_PA!$B$45:$Y$71,(MATCH('2.2 Emissions restes tallada'!F26,Espècies,0)),(MATCH('2.2 Emissions restes tallada'!K26,Dades_PA!$B$44:$Y$44,0))))*(Dades_PA!$B$39/100)*I26),""))</f>
        <v/>
      </c>
      <c r="S26" s="109" t="str">
        <f>IF(L26="Crema",((INDEX(Dades_PA!$B$45:$Y$71,(MATCH('2.2 Emissions restes tallada'!F26,Espècies,0)),(MATCH('2.2 Emissions restes tallada'!M26,Dades_PA!$B$44:$Y$44,0))))*I26),IF(L26="Descomposició",((INDEX(Dades_PA!$B$45:$Y$71,(MATCH('2.2 Emissions restes tallada'!F26,Espècies,0)),(MATCH('2.2 Emissions restes tallada'!M26,Dades_PA!$B$44:$Y$44,0))))*(Dades_PA!$B$39/100)*I26),IF(L26="Producte",0,"")))</f>
        <v/>
      </c>
      <c r="T26" s="109" t="str">
        <f>IF(N26="Crema",((INDEX(Dades_PA!$B$45:$Y$71,(MATCH('2.2 Emissions restes tallada'!F26,Espècies,0)),(MATCH('2.2 Emissions restes tallada'!O26,Dades_PA!$B$44:$Y$44,0))))*I26),IF(N26="Descomposició",((INDEX(Dades_PA!$B$45:$Y$71,(MATCH('2.2 Emissions restes tallada'!F26,Espècies,0)),(MATCH('2.2 Emissions restes tallada'!O26,Dades_PA!$B$44:$Y$44,0))))*(Dades_PA!$B$39/100)*I26),IF(N26="Producte",0,"")))</f>
        <v/>
      </c>
      <c r="U26" s="109" t="str">
        <f>IF(P26="Crema",((INDEX(Dades_PA!$B$45:$Y$71,(MATCH('2.2 Emissions restes tallada'!F26,Espècies,0)),(MATCH('2.2 Emissions restes tallada'!Q26,Dades_PA!$B$44:$Y$44,0))))*I26),IF(P26="Descomposició",((INDEX(Dades_PA!$B$45:$Y$71,(MATCH('2.2 Emissions restes tallada'!F26,Espècies,0)),(MATCH('2.2 Emissions restes tallada'!Q26,Dades_PA!$B$44:$Y$44,0))))*(Dades_PA!$B$39/100)*I26),IF(P26="Producte",0,"")))</f>
        <v/>
      </c>
      <c r="V26" s="130" t="str">
        <f t="shared" si="7"/>
        <v/>
      </c>
    </row>
    <row r="27" spans="5:22" ht="15.75" customHeight="1">
      <c r="E27" s="339"/>
      <c r="F27" s="109" t="str">
        <f>IF('2.1 Absorcions arbres'!E20=0,"",'2.1 Absorcions arbres'!E20)</f>
        <v/>
      </c>
      <c r="G27" s="195" t="str">
        <f>IFERROR(VLOOKUP(F27,Dades_PA!$A$6:$H$32,8,FALSE),"")</f>
        <v/>
      </c>
      <c r="H27" s="107" t="str">
        <f t="shared" si="8"/>
        <v/>
      </c>
      <c r="I27" s="108"/>
      <c r="J27" s="195" t="str">
        <f t="shared" si="3"/>
        <v/>
      </c>
      <c r="K27" s="195" t="str">
        <f t="shared" si="4"/>
        <v>BST-</v>
      </c>
      <c r="L27" s="116"/>
      <c r="M27" s="227" t="str">
        <f t="shared" si="0"/>
        <v>Bb&lt;2iBf-</v>
      </c>
      <c r="N27" s="116"/>
      <c r="O27" s="115" t="str">
        <f t="shared" si="1"/>
        <v>Bb&gt;2-</v>
      </c>
      <c r="P27" s="116"/>
      <c r="Q27" s="109" t="str">
        <f t="shared" si="5"/>
        <v>Bt-</v>
      </c>
      <c r="R27" s="109" t="str">
        <f>IF(J27="Vives",0,IF(J27="Mortes",((INDEX(Dades_PA!$B$45:$Y$71,(MATCH('2.2 Emissions restes tallada'!F27,Espècies,0)),(MATCH('2.2 Emissions restes tallada'!K27,Dades_PA!$B$44:$Y$44,0))))*(Dades_PA!$B$39/100)*I27),""))</f>
        <v/>
      </c>
      <c r="S27" s="109" t="str">
        <f>IF(L27="Crema",((INDEX(Dades_PA!$B$45:$Y$71,(MATCH('2.2 Emissions restes tallada'!F27,Espècies,0)),(MATCH('2.2 Emissions restes tallada'!M27,Dades_PA!$B$44:$Y$44,0))))*I27),IF(L27="Descomposició",((INDEX(Dades_PA!$B$45:$Y$71,(MATCH('2.2 Emissions restes tallada'!F27,Espècies,0)),(MATCH('2.2 Emissions restes tallada'!M27,Dades_PA!$B$44:$Y$44,0))))*(Dades_PA!$B$39/100)*I27),IF(L27="Producte",0,"")))</f>
        <v/>
      </c>
      <c r="T27" s="109" t="str">
        <f>IF(N27="Crema",((INDEX(Dades_PA!$B$45:$Y$71,(MATCH('2.2 Emissions restes tallada'!F27,Espècies,0)),(MATCH('2.2 Emissions restes tallada'!O27,Dades_PA!$B$44:$Y$44,0))))*I27),IF(N27="Descomposició",((INDEX(Dades_PA!$B$45:$Y$71,(MATCH('2.2 Emissions restes tallada'!F27,Espècies,0)),(MATCH('2.2 Emissions restes tallada'!O27,Dades_PA!$B$44:$Y$44,0))))*(Dades_PA!$B$39/100)*I27),IF(N27="Producte",0,"")))</f>
        <v/>
      </c>
      <c r="U27" s="109" t="str">
        <f>IF(P27="Crema",((INDEX(Dades_PA!$B$45:$Y$71,(MATCH('2.2 Emissions restes tallada'!F27,Espècies,0)),(MATCH('2.2 Emissions restes tallada'!Q27,Dades_PA!$B$44:$Y$44,0))))*I27),IF(P27="Descomposició",((INDEX(Dades_PA!$B$45:$Y$71,(MATCH('2.2 Emissions restes tallada'!F27,Espècies,0)),(MATCH('2.2 Emissions restes tallada'!Q27,Dades_PA!$B$44:$Y$44,0))))*(Dades_PA!$B$39/100)*I27),IF(P27="Producte",0,"")))</f>
        <v/>
      </c>
      <c r="V27" s="130" t="str">
        <f t="shared" si="7"/>
        <v/>
      </c>
    </row>
    <row r="28" spans="5:22" ht="15.75" customHeight="1">
      <c r="E28" s="339"/>
      <c r="F28" s="109" t="str">
        <f>IF('2.1 Absorcions arbres'!E21=0,"",'2.1 Absorcions arbres'!E21)</f>
        <v/>
      </c>
      <c r="G28" s="195" t="str">
        <f>IFERROR(VLOOKUP(F28,Dades_PA!$A$6:$H$32,8,FALSE),"")</f>
        <v/>
      </c>
      <c r="H28" s="107" t="str">
        <f t="shared" si="8"/>
        <v/>
      </c>
      <c r="I28" s="108"/>
      <c r="J28" s="195" t="str">
        <f t="shared" si="3"/>
        <v/>
      </c>
      <c r="K28" s="195" t="str">
        <f t="shared" si="4"/>
        <v>BST-</v>
      </c>
      <c r="L28" s="116"/>
      <c r="M28" s="227" t="str">
        <f t="shared" si="0"/>
        <v>Bb&lt;2iBf-</v>
      </c>
      <c r="N28" s="116"/>
      <c r="O28" s="115" t="str">
        <f t="shared" si="1"/>
        <v>Bb&gt;2-</v>
      </c>
      <c r="P28" s="116"/>
      <c r="Q28" s="109" t="str">
        <f t="shared" si="5"/>
        <v>Bt-</v>
      </c>
      <c r="R28" s="109" t="str">
        <f>IF(J28="Vives",0,IF(J28="Mortes",((INDEX(Dades_PA!$B$45:$Y$71,(MATCH('2.2 Emissions restes tallada'!F28,Espècies,0)),(MATCH('2.2 Emissions restes tallada'!K28,Dades_PA!$B$44:$Y$44,0))))*(Dades_PA!$B$39/100)*I28),""))</f>
        <v/>
      </c>
      <c r="S28" s="109" t="str">
        <f>IF(L28="Crema",((INDEX(Dades_PA!$B$45:$Y$71,(MATCH('2.2 Emissions restes tallada'!F28,Espècies,0)),(MATCH('2.2 Emissions restes tallada'!M28,Dades_PA!$B$44:$Y$44,0))))*I28),IF(L28="Descomposició",((INDEX(Dades_PA!$B$45:$Y$71,(MATCH('2.2 Emissions restes tallada'!F28,Espècies,0)),(MATCH('2.2 Emissions restes tallada'!M28,Dades_PA!$B$44:$Y$44,0))))*(Dades_PA!$B$39/100)*I28),IF(L28="Producte",0,"")))</f>
        <v/>
      </c>
      <c r="T28" s="109" t="str">
        <f>IF(N28="Crema",((INDEX(Dades_PA!$B$45:$Y$71,(MATCH('2.2 Emissions restes tallada'!F28,Espècies,0)),(MATCH('2.2 Emissions restes tallada'!O28,Dades_PA!$B$44:$Y$44,0))))*I28),IF(N28="Descomposició",((INDEX(Dades_PA!$B$45:$Y$71,(MATCH('2.2 Emissions restes tallada'!F28,Espècies,0)),(MATCH('2.2 Emissions restes tallada'!O28,Dades_PA!$B$44:$Y$44,0))))*(Dades_PA!$B$39/100)*I28),IF(N28="Producte",0,"")))</f>
        <v/>
      </c>
      <c r="U28" s="109" t="str">
        <f>IF(P28="Crema",((INDEX(Dades_PA!$B$45:$Y$71,(MATCH('2.2 Emissions restes tallada'!F28,Espècies,0)),(MATCH('2.2 Emissions restes tallada'!Q28,Dades_PA!$B$44:$Y$44,0))))*I28),IF(P28="Descomposició",((INDEX(Dades_PA!$B$45:$Y$71,(MATCH('2.2 Emissions restes tallada'!F28,Espècies,0)),(MATCH('2.2 Emissions restes tallada'!Q28,Dades_PA!$B$44:$Y$44,0))))*(Dades_PA!$B$39/100)*I28),IF(P28="Producte",0,"")))</f>
        <v/>
      </c>
      <c r="V28" s="130" t="str">
        <f t="shared" si="7"/>
        <v/>
      </c>
    </row>
    <row r="29" spans="5:22" ht="15.75" customHeight="1">
      <c r="E29" s="339"/>
      <c r="F29" s="109" t="str">
        <f>IF('2.1 Absorcions arbres'!E22=0,"",'2.1 Absorcions arbres'!E22)</f>
        <v/>
      </c>
      <c r="G29" s="195" t="str">
        <f>IFERROR(VLOOKUP(F29,Dades_PA!$A$6:$H$32,8,FALSE),"")</f>
        <v/>
      </c>
      <c r="H29" s="107" t="str">
        <f t="shared" si="8"/>
        <v/>
      </c>
      <c r="I29" s="108"/>
      <c r="J29" s="195" t="str">
        <f t="shared" si="3"/>
        <v/>
      </c>
      <c r="K29" s="195" t="str">
        <f t="shared" si="4"/>
        <v>BST-</v>
      </c>
      <c r="L29" s="116"/>
      <c r="M29" s="227" t="str">
        <f t="shared" si="0"/>
        <v>Bb&lt;2iBf-</v>
      </c>
      <c r="N29" s="116"/>
      <c r="O29" s="115" t="str">
        <f t="shared" si="1"/>
        <v>Bb&gt;2-</v>
      </c>
      <c r="P29" s="116"/>
      <c r="Q29" s="109" t="str">
        <f t="shared" si="5"/>
        <v>Bt-</v>
      </c>
      <c r="R29" s="109" t="str">
        <f>IF(J29="Vives",0,IF(J29="Mortes",((INDEX(Dades_PA!$B$45:$Y$71,(MATCH('2.2 Emissions restes tallada'!F29,Espècies,0)),(MATCH('2.2 Emissions restes tallada'!K29,Dades_PA!$B$44:$Y$44,0))))*(Dades_PA!$B$39/100)*I29),""))</f>
        <v/>
      </c>
      <c r="S29" s="109" t="str">
        <f>IF(L29="Crema",((INDEX(Dades_PA!$B$45:$Y$71,(MATCH('2.2 Emissions restes tallada'!F29,Espècies,0)),(MATCH('2.2 Emissions restes tallada'!M29,Dades_PA!$B$44:$Y$44,0))))*I29),IF(L29="Descomposició",((INDEX(Dades_PA!$B$45:$Y$71,(MATCH('2.2 Emissions restes tallada'!F29,Espècies,0)),(MATCH('2.2 Emissions restes tallada'!M29,Dades_PA!$B$44:$Y$44,0))))*(Dades_PA!$B$39/100)*I29),IF(L29="Producte",0,"")))</f>
        <v/>
      </c>
      <c r="T29" s="109" t="str">
        <f>IF(N29="Crema",((INDEX(Dades_PA!$B$45:$Y$71,(MATCH('2.2 Emissions restes tallada'!F29,Espècies,0)),(MATCH('2.2 Emissions restes tallada'!O29,Dades_PA!$B$44:$Y$44,0))))*I29),IF(N29="Descomposició",((INDEX(Dades_PA!$B$45:$Y$71,(MATCH('2.2 Emissions restes tallada'!F29,Espècies,0)),(MATCH('2.2 Emissions restes tallada'!O29,Dades_PA!$B$44:$Y$44,0))))*(Dades_PA!$B$39/100)*I29),IF(N29="Producte",0,"")))</f>
        <v/>
      </c>
      <c r="U29" s="109" t="str">
        <f>IF(P29="Crema",((INDEX(Dades_PA!$B$45:$Y$71,(MATCH('2.2 Emissions restes tallada'!F29,Espècies,0)),(MATCH('2.2 Emissions restes tallada'!Q29,Dades_PA!$B$44:$Y$44,0))))*I29),IF(P29="Descomposició",((INDEX(Dades_PA!$B$45:$Y$71,(MATCH('2.2 Emissions restes tallada'!F29,Espècies,0)),(MATCH('2.2 Emissions restes tallada'!Q29,Dades_PA!$B$44:$Y$44,0))))*(Dades_PA!$B$39/100)*I29),IF(P29="Producte",0,"")))</f>
        <v/>
      </c>
      <c r="V29" s="130" t="str">
        <f t="shared" si="7"/>
        <v/>
      </c>
    </row>
    <row r="30" spans="5:22" ht="15.75" customHeight="1">
      <c r="E30" s="339"/>
      <c r="F30" s="109" t="str">
        <f>IF('2.1 Absorcions arbres'!E23=0,"",'2.1 Absorcions arbres'!E23)</f>
        <v/>
      </c>
      <c r="G30" s="195" t="str">
        <f>IFERROR(VLOOKUP(F30,Dades_PA!$A$6:$H$32,8,FALSE),"")</f>
        <v/>
      </c>
      <c r="H30" s="107" t="str">
        <f t="shared" si="8"/>
        <v/>
      </c>
      <c r="I30" s="108"/>
      <c r="J30" s="195" t="str">
        <f t="shared" si="3"/>
        <v/>
      </c>
      <c r="K30" s="195" t="str">
        <f t="shared" si="4"/>
        <v>BST-</v>
      </c>
      <c r="L30" s="116"/>
      <c r="M30" s="227" t="str">
        <f t="shared" si="0"/>
        <v>Bb&lt;2iBf-</v>
      </c>
      <c r="N30" s="116"/>
      <c r="O30" s="115" t="str">
        <f t="shared" si="1"/>
        <v>Bb&gt;2-</v>
      </c>
      <c r="P30" s="116"/>
      <c r="Q30" s="109" t="str">
        <f t="shared" si="5"/>
        <v>Bt-</v>
      </c>
      <c r="R30" s="109" t="str">
        <f>IF(J30="Vives",0,IF(J30="Mortes",((INDEX(Dades_PA!$B$45:$Y$71,(MATCH('2.2 Emissions restes tallada'!F30,Espècies,0)),(MATCH('2.2 Emissions restes tallada'!K30,Dades_PA!$B$44:$Y$44,0))))*(Dades_PA!$B$39/100)*I30),""))</f>
        <v/>
      </c>
      <c r="S30" s="109" t="str">
        <f>IF(L30="Crema",((INDEX(Dades_PA!$B$45:$Y$71,(MATCH('2.2 Emissions restes tallada'!F30,Espècies,0)),(MATCH('2.2 Emissions restes tallada'!M30,Dades_PA!$B$44:$Y$44,0))))*I30),IF(L30="Descomposició",((INDEX(Dades_PA!$B$45:$Y$71,(MATCH('2.2 Emissions restes tallada'!F30,Espècies,0)),(MATCH('2.2 Emissions restes tallada'!M30,Dades_PA!$B$44:$Y$44,0))))*(Dades_PA!$B$39/100)*I30),IF(L30="Producte",0,"")))</f>
        <v/>
      </c>
      <c r="T30" s="109" t="str">
        <f>IF(N30="Crema",((INDEX(Dades_PA!$B$45:$Y$71,(MATCH('2.2 Emissions restes tallada'!F30,Espècies,0)),(MATCH('2.2 Emissions restes tallada'!O30,Dades_PA!$B$44:$Y$44,0))))*I30),IF(N30="Descomposició",((INDEX(Dades_PA!$B$45:$Y$71,(MATCH('2.2 Emissions restes tallada'!F30,Espècies,0)),(MATCH('2.2 Emissions restes tallada'!O30,Dades_PA!$B$44:$Y$44,0))))*(Dades_PA!$B$39/100)*I30),IF(N30="Producte",0,"")))</f>
        <v/>
      </c>
      <c r="U30" s="109" t="str">
        <f>IF(P30="Crema",((INDEX(Dades_PA!$B$45:$Y$71,(MATCH('2.2 Emissions restes tallada'!F30,Espècies,0)),(MATCH('2.2 Emissions restes tallada'!Q30,Dades_PA!$B$44:$Y$44,0))))*I30),IF(P30="Descomposició",((INDEX(Dades_PA!$B$45:$Y$71,(MATCH('2.2 Emissions restes tallada'!F30,Espècies,0)),(MATCH('2.2 Emissions restes tallada'!Q30,Dades_PA!$B$44:$Y$44,0))))*(Dades_PA!$B$39/100)*I30),IF(P30="Producte",0,"")))</f>
        <v/>
      </c>
      <c r="V30" s="130" t="str">
        <f t="shared" si="7"/>
        <v/>
      </c>
    </row>
    <row r="31" spans="5:22" ht="15.75" customHeight="1">
      <c r="E31" s="339"/>
      <c r="F31" s="109" t="str">
        <f>IF('2.1 Absorcions arbres'!E24=0,"",'2.1 Absorcions arbres'!E24)</f>
        <v/>
      </c>
      <c r="G31" s="195" t="str">
        <f>IFERROR(VLOOKUP(F31,Dades_PA!$A$6:$H$32,8,FALSE),"")</f>
        <v/>
      </c>
      <c r="H31" s="107" t="str">
        <f t="shared" si="8"/>
        <v/>
      </c>
      <c r="I31" s="108"/>
      <c r="J31" s="195" t="str">
        <f t="shared" si="3"/>
        <v/>
      </c>
      <c r="K31" s="195" t="str">
        <f t="shared" si="4"/>
        <v>BST-</v>
      </c>
      <c r="L31" s="116"/>
      <c r="M31" s="227" t="str">
        <f t="shared" si="0"/>
        <v>Bb&lt;2iBf-</v>
      </c>
      <c r="N31" s="116"/>
      <c r="O31" s="115" t="str">
        <f t="shared" si="1"/>
        <v>Bb&gt;2-</v>
      </c>
      <c r="P31" s="116"/>
      <c r="Q31" s="109" t="str">
        <f t="shared" si="5"/>
        <v>Bt-</v>
      </c>
      <c r="R31" s="109" t="str">
        <f>IF(J31="Vives",0,IF(J31="Mortes",((INDEX(Dades_PA!$B$45:$Y$71,(MATCH('2.2 Emissions restes tallada'!F31,Espècies,0)),(MATCH('2.2 Emissions restes tallada'!K31,Dades_PA!$B$44:$Y$44,0))))*(Dades_PA!$B$39/100)*I31),""))</f>
        <v/>
      </c>
      <c r="S31" s="109" t="str">
        <f>IF(L31="Crema",((INDEX(Dades_PA!$B$45:$Y$71,(MATCH('2.2 Emissions restes tallada'!F31,Espècies,0)),(MATCH('2.2 Emissions restes tallada'!M31,Dades_PA!$B$44:$Y$44,0))))*I31),IF(L31="Descomposició",((INDEX(Dades_PA!$B$45:$Y$71,(MATCH('2.2 Emissions restes tallada'!F31,Espècies,0)),(MATCH('2.2 Emissions restes tallada'!M31,Dades_PA!$B$44:$Y$44,0))))*(Dades_PA!$B$39/100)*I31),IF(L31="Producte",0,"")))</f>
        <v/>
      </c>
      <c r="T31" s="109" t="str">
        <f>IF(N31="Crema",((INDEX(Dades_PA!$B$45:$Y$71,(MATCH('2.2 Emissions restes tallada'!F31,Espècies,0)),(MATCH('2.2 Emissions restes tallada'!O31,Dades_PA!$B$44:$Y$44,0))))*I31),IF(N31="Descomposició",((INDEX(Dades_PA!$B$45:$Y$71,(MATCH('2.2 Emissions restes tallada'!F31,Espècies,0)),(MATCH('2.2 Emissions restes tallada'!O31,Dades_PA!$B$44:$Y$44,0))))*(Dades_PA!$B$39/100)*I31),IF(N31="Producte",0,"")))</f>
        <v/>
      </c>
      <c r="U31" s="109" t="str">
        <f>IF(P31="Crema",((INDEX(Dades_PA!$B$45:$Y$71,(MATCH('2.2 Emissions restes tallada'!F31,Espècies,0)),(MATCH('2.2 Emissions restes tallada'!Q31,Dades_PA!$B$44:$Y$44,0))))*I31),IF(P31="Descomposició",((INDEX(Dades_PA!$B$45:$Y$71,(MATCH('2.2 Emissions restes tallada'!F31,Espècies,0)),(MATCH('2.2 Emissions restes tallada'!Q31,Dades_PA!$B$44:$Y$44,0))))*(Dades_PA!$B$39/100)*I31),IF(P31="Producte",0,"")))</f>
        <v/>
      </c>
      <c r="V31" s="130" t="str">
        <f t="shared" si="7"/>
        <v/>
      </c>
    </row>
    <row r="32" spans="5:22" ht="15.75" customHeight="1">
      <c r="E32" s="339"/>
      <c r="F32" s="109" t="str">
        <f>IF('2.1 Absorcions arbres'!E25=0,"",'2.1 Absorcions arbres'!E25)</f>
        <v/>
      </c>
      <c r="G32" s="195" t="str">
        <f>IFERROR(VLOOKUP(F32,Dades_PA!$A$6:$H$32,8,FALSE),"")</f>
        <v/>
      </c>
      <c r="H32" s="107" t="str">
        <f t="shared" si="8"/>
        <v/>
      </c>
      <c r="I32" s="108"/>
      <c r="J32" s="195" t="str">
        <f t="shared" si="3"/>
        <v/>
      </c>
      <c r="K32" s="195" t="str">
        <f t="shared" si="4"/>
        <v>BST-</v>
      </c>
      <c r="L32" s="116"/>
      <c r="M32" s="227" t="str">
        <f t="shared" si="0"/>
        <v>Bb&lt;2iBf-</v>
      </c>
      <c r="N32" s="116"/>
      <c r="O32" s="115" t="str">
        <f t="shared" si="1"/>
        <v>Bb&gt;2-</v>
      </c>
      <c r="P32" s="116"/>
      <c r="Q32" s="109" t="str">
        <f t="shared" si="5"/>
        <v>Bt-</v>
      </c>
      <c r="R32" s="109" t="str">
        <f>IF(J32="Vives",0,IF(J32="Mortes",((INDEX(Dades_PA!$B$45:$Y$71,(MATCH('2.2 Emissions restes tallada'!F32,Espècies,0)),(MATCH('2.2 Emissions restes tallada'!K32,Dades_PA!$B$44:$Y$44,0))))*(Dades_PA!$B$39/100)*I32),""))</f>
        <v/>
      </c>
      <c r="S32" s="109" t="str">
        <f>IF(L32="Crema",((INDEX(Dades_PA!$B$45:$Y$71,(MATCH('2.2 Emissions restes tallada'!F32,Espècies,0)),(MATCH('2.2 Emissions restes tallada'!M32,Dades_PA!$B$44:$Y$44,0))))*I32),IF(L32="Descomposició",((INDEX(Dades_PA!$B$45:$Y$71,(MATCH('2.2 Emissions restes tallada'!F32,Espècies,0)),(MATCH('2.2 Emissions restes tallada'!M32,Dades_PA!$B$44:$Y$44,0))))*(Dades_PA!$B$39/100)*I32),IF(L32="Producte",0,"")))</f>
        <v/>
      </c>
      <c r="T32" s="109" t="str">
        <f>IF(N32="Crema",((INDEX(Dades_PA!$B$45:$Y$71,(MATCH('2.2 Emissions restes tallada'!F32,Espècies,0)),(MATCH('2.2 Emissions restes tallada'!O32,Dades_PA!$B$44:$Y$44,0))))*I32),IF(N32="Descomposició",((INDEX(Dades_PA!$B$45:$Y$71,(MATCH('2.2 Emissions restes tallada'!F32,Espècies,0)),(MATCH('2.2 Emissions restes tallada'!O32,Dades_PA!$B$44:$Y$44,0))))*(Dades_PA!$B$39/100)*I32),IF(N32="Producte",0,"")))</f>
        <v/>
      </c>
      <c r="U32" s="109" t="str">
        <f>IF(P32="Crema",((INDEX(Dades_PA!$B$45:$Y$71,(MATCH('2.2 Emissions restes tallada'!F32,Espècies,0)),(MATCH('2.2 Emissions restes tallada'!Q32,Dades_PA!$B$44:$Y$44,0))))*I32),IF(P32="Descomposició",((INDEX(Dades_PA!$B$45:$Y$71,(MATCH('2.2 Emissions restes tallada'!F32,Espècies,0)),(MATCH('2.2 Emissions restes tallada'!Q32,Dades_PA!$B$44:$Y$44,0))))*(Dades_PA!$B$39/100)*I32),IF(P32="Producte",0,"")))</f>
        <v/>
      </c>
      <c r="V32" s="130" t="str">
        <f t="shared" si="7"/>
        <v/>
      </c>
    </row>
    <row r="33" spans="2:25" ht="15.75" customHeight="1" thickBot="1">
      <c r="E33" s="340"/>
      <c r="F33" s="113" t="str">
        <f>IF('2.1 Absorcions arbres'!E26=0,"",'2.1 Absorcions arbres'!E26)</f>
        <v/>
      </c>
      <c r="G33" s="196" t="str">
        <f>IFERROR(VLOOKUP(F33,Dades_PA!$A$6:$H$32,8,FALSE),"")</f>
        <v/>
      </c>
      <c r="H33" s="111" t="str">
        <f t="shared" si="8"/>
        <v/>
      </c>
      <c r="I33" s="112"/>
      <c r="J33" s="196" t="str">
        <f t="shared" si="3"/>
        <v/>
      </c>
      <c r="K33" s="196" t="str">
        <f t="shared" si="4"/>
        <v>BST-</v>
      </c>
      <c r="L33" s="118"/>
      <c r="M33" s="240" t="str">
        <f t="shared" si="0"/>
        <v>Bb&lt;2iBf-</v>
      </c>
      <c r="N33" s="118"/>
      <c r="O33" s="117" t="str">
        <f t="shared" si="1"/>
        <v>Bb&gt;2-</v>
      </c>
      <c r="P33" s="118"/>
      <c r="Q33" s="113" t="str">
        <f t="shared" si="5"/>
        <v>Bt-</v>
      </c>
      <c r="R33" s="113" t="str">
        <f>IF(J33="Vives",0,IF(J33="Mortes",((INDEX(Dades_PA!$B$45:$Y$71,(MATCH('2.2 Emissions restes tallada'!F33,Espècies,0)),(MATCH('2.2 Emissions restes tallada'!K33,Dades_PA!$B$44:$Y$44,0))))*(Dades_PA!$B$39/100)*I33),""))</f>
        <v/>
      </c>
      <c r="S33" s="113" t="str">
        <f>IF(L33="Crema",((INDEX(Dades_PA!$B$45:$Y$71,(MATCH('2.2 Emissions restes tallada'!F33,Espècies,0)),(MATCH('2.2 Emissions restes tallada'!M33,Dades_PA!$B$44:$Y$44,0))))*I33),IF(L33="Descomposició",((INDEX(Dades_PA!$B$45:$Y$71,(MATCH('2.2 Emissions restes tallada'!F33,Espècies,0)),(MATCH('2.2 Emissions restes tallada'!M33,Dades_PA!$B$44:$Y$44,0))))*(Dades_PA!$B$39/100)*I33),IF(L33="Producte",0,"")))</f>
        <v/>
      </c>
      <c r="T33" s="113" t="str">
        <f>IF(N33="Crema",((INDEX(Dades_PA!$B$45:$Y$71,(MATCH('2.2 Emissions restes tallada'!F33,Espècies,0)),(MATCH('2.2 Emissions restes tallada'!O33,Dades_PA!$B$44:$Y$44,0))))*I33),IF(N33="Descomposició",((INDEX(Dades_PA!$B$45:$Y$71,(MATCH('2.2 Emissions restes tallada'!F33,Espècies,0)),(MATCH('2.2 Emissions restes tallada'!O33,Dades_PA!$B$44:$Y$44,0))))*(Dades_PA!$B$39/100)*I33),IF(N33="Producte",0,"")))</f>
        <v/>
      </c>
      <c r="U33" s="113" t="str">
        <f>IF(P33="Crema",((INDEX(Dades_PA!$B$45:$Y$71,(MATCH('2.2 Emissions restes tallada'!F33,Espècies,0)),(MATCH('2.2 Emissions restes tallada'!Q33,Dades_PA!$B$44:$Y$44,0))))*I33),IF(P33="Descomposició",((INDEX(Dades_PA!$B$45:$Y$71,(MATCH('2.2 Emissions restes tallada'!F33,Espècies,0)),(MATCH('2.2 Emissions restes tallada'!Q33,Dades_PA!$B$44:$Y$44,0))))*(Dades_PA!$B$39/100)*I33),IF(P33="Producte",0,"")))</f>
        <v/>
      </c>
      <c r="V33" s="131" t="str">
        <f t="shared" si="7"/>
        <v/>
      </c>
    </row>
    <row r="34" spans="2:25" ht="15.75" customHeight="1">
      <c r="E34" s="338" t="str">
        <f>IF(('1. Dades generals del projecte'!D32)="","",('1. Dades generals del projecte'!D32))</f>
        <v/>
      </c>
      <c r="F34" s="105" t="str">
        <f>IF('2.1 Absorcions arbres'!E27=0,"",'2.1 Absorcions arbres'!E27)</f>
        <v/>
      </c>
      <c r="G34" s="194" t="str">
        <f>IFERROR(VLOOKUP(F34,Dades_PA!$A$6:$H$32,8,FALSE),"")</f>
        <v/>
      </c>
      <c r="H34" s="103" t="str">
        <f>IF(('2.1 Absorcions arbres'!H27&gt;0),('2.1 Absorcions arbres'!H27),"")</f>
        <v/>
      </c>
      <c r="I34" s="104"/>
      <c r="J34" s="194" t="str">
        <f t="shared" si="3"/>
        <v/>
      </c>
      <c r="K34" s="194" t="str">
        <f t="shared" si="4"/>
        <v>BST-</v>
      </c>
      <c r="L34" s="101"/>
      <c r="M34" s="114" t="str">
        <f t="shared" si="0"/>
        <v>Bb&lt;2iBf-</v>
      </c>
      <c r="N34" s="101"/>
      <c r="O34" s="114" t="str">
        <f t="shared" si="1"/>
        <v>Bb&gt;2-</v>
      </c>
      <c r="P34" s="101"/>
      <c r="Q34" s="105" t="str">
        <f t="shared" si="5"/>
        <v>Bt-</v>
      </c>
      <c r="R34" s="105" t="str">
        <f>IF(J34="Vives",0,IF(J34="Mortes",((INDEX(Dades_PA!$B$45:$Y$71,(MATCH('2.2 Emissions restes tallada'!F34,Espècies,0)),(MATCH('2.2 Emissions restes tallada'!K34,Dades_PA!$B$44:$Y$44,0))))*(Dades_PA!$B$39/100)*I34),""))</f>
        <v/>
      </c>
      <c r="S34" s="105" t="str">
        <f>IF(L34="Crema",((INDEX(Dades_PA!$B$45:$Y$71,(MATCH('2.2 Emissions restes tallada'!F34,Espècies,0)),(MATCH('2.2 Emissions restes tallada'!M34,Dades_PA!$B$44:$Y$44,0))))*I34),IF(L34="Descomposició",((INDEX(Dades_PA!$B$45:$Y$71,(MATCH('2.2 Emissions restes tallada'!F34,Espècies,0)),(MATCH('2.2 Emissions restes tallada'!M34,Dades_PA!$B$44:$Y$44,0))))*(Dades_PA!$B$39/100)*I34),IF(L34="Producte",0,"")))</f>
        <v/>
      </c>
      <c r="T34" s="105" t="str">
        <f>IF(N34="Crema",((INDEX(Dades_PA!$B$45:$Y$71,(MATCH('2.2 Emissions restes tallada'!F34,Espècies,0)),(MATCH('2.2 Emissions restes tallada'!O34,Dades_PA!$B$44:$Y$44,0))))*I34),IF(N34="Descomposició",((INDEX(Dades_PA!$B$45:$Y$71,(MATCH('2.2 Emissions restes tallada'!F34,Espècies,0)),(MATCH('2.2 Emissions restes tallada'!O34,Dades_PA!$B$44:$Y$44,0))))*(Dades_PA!$B$39/100)*I34),IF(N34="Producte",0,"")))</f>
        <v/>
      </c>
      <c r="U34" s="105" t="str">
        <f>IF(P34="Crema",((INDEX(Dades_PA!$B$45:$Y$71,(MATCH('2.2 Emissions restes tallada'!F34,Espècies,0)),(MATCH('2.2 Emissions restes tallada'!Q34,Dades_PA!$B$44:$Y$44,0))))*I34),IF(P34="Descomposició",((INDEX(Dades_PA!$B$45:$Y$71,(MATCH('2.2 Emissions restes tallada'!F34,Espècies,0)),(MATCH('2.2 Emissions restes tallada'!Q34,Dades_PA!$B$44:$Y$44,0))))*(Dades_PA!$B$39/100)*I34),IF(P34="Producte",0,"")))</f>
        <v/>
      </c>
      <c r="V34" s="129" t="str">
        <f t="shared" si="7"/>
        <v/>
      </c>
    </row>
    <row r="35" spans="2:25" ht="15" customHeight="1">
      <c r="E35" s="339"/>
      <c r="F35" s="109" t="str">
        <f>IF('2.1 Absorcions arbres'!E28=0,"",'2.1 Absorcions arbres'!E28)</f>
        <v/>
      </c>
      <c r="G35" s="195" t="str">
        <f>IFERROR(VLOOKUP(F35,Dades_PA!$A$6:$H$32,8,FALSE),"")</f>
        <v/>
      </c>
      <c r="H35" s="107" t="str">
        <f>$H$34</f>
        <v/>
      </c>
      <c r="I35" s="108"/>
      <c r="J35" s="195" t="str">
        <f t="shared" si="3"/>
        <v/>
      </c>
      <c r="K35" s="195" t="str">
        <f t="shared" si="4"/>
        <v>BST-</v>
      </c>
      <c r="L35" s="116"/>
      <c r="M35" s="227" t="str">
        <f t="shared" si="0"/>
        <v>Bb&lt;2iBf-</v>
      </c>
      <c r="N35" s="116"/>
      <c r="O35" s="115" t="str">
        <f t="shared" si="1"/>
        <v>Bb&gt;2-</v>
      </c>
      <c r="P35" s="116"/>
      <c r="Q35" s="109" t="str">
        <f t="shared" si="5"/>
        <v>Bt-</v>
      </c>
      <c r="R35" s="109" t="str">
        <f>IF(J35="Vives",0,IF(J35="Mortes",((INDEX(Dades_PA!$B$45:$Y$71,(MATCH('2.2 Emissions restes tallada'!F35,Espècies,0)),(MATCH('2.2 Emissions restes tallada'!K35,Dades_PA!$B$44:$Y$44,0))))*(Dades_PA!$B$39/100)*I35),""))</f>
        <v/>
      </c>
      <c r="S35" s="109" t="str">
        <f>IF(L35="Crema",((INDEX(Dades_PA!$B$45:$Y$71,(MATCH('2.2 Emissions restes tallada'!F35,Espècies,0)),(MATCH('2.2 Emissions restes tallada'!M35,Dades_PA!$B$44:$Y$44,0))))*I35),IF(L35="Descomposició",((INDEX(Dades_PA!$B$45:$Y$71,(MATCH('2.2 Emissions restes tallada'!F35,Espècies,0)),(MATCH('2.2 Emissions restes tallada'!M35,Dades_PA!$B$44:$Y$44,0))))*(Dades_PA!$B$39/100)*I35),IF(L35="Producte",0,"")))</f>
        <v/>
      </c>
      <c r="T35" s="109" t="str">
        <f>IF(N35="Crema",((INDEX(Dades_PA!$B$45:$Y$71,(MATCH('2.2 Emissions restes tallada'!F35,Espècies,0)),(MATCH('2.2 Emissions restes tallada'!O35,Dades_PA!$B$44:$Y$44,0))))*I35),IF(N35="Descomposició",((INDEX(Dades_PA!$B$45:$Y$71,(MATCH('2.2 Emissions restes tallada'!F35,Espècies,0)),(MATCH('2.2 Emissions restes tallada'!O35,Dades_PA!$B$44:$Y$44,0))))*(Dades_PA!$B$39/100)*I35),IF(N35="Producte",0,"")))</f>
        <v/>
      </c>
      <c r="U35" s="109" t="str">
        <f>IF(P35="Crema",((INDEX(Dades_PA!$B$45:$Y$71,(MATCH('2.2 Emissions restes tallada'!F35,Espècies,0)),(MATCH('2.2 Emissions restes tallada'!Q35,Dades_PA!$B$44:$Y$44,0))))*I35),IF(P35="Descomposició",((INDEX(Dades_PA!$B$45:$Y$71,(MATCH('2.2 Emissions restes tallada'!F35,Espècies,0)),(MATCH('2.2 Emissions restes tallada'!Q35,Dades_PA!$B$44:$Y$44,0))))*(Dades_PA!$B$39/100)*I35),IF(P35="Producte",0,"")))</f>
        <v/>
      </c>
      <c r="V35" s="130" t="str">
        <f t="shared" si="7"/>
        <v/>
      </c>
    </row>
    <row r="36" spans="2:25" ht="18" customHeight="1">
      <c r="E36" s="339"/>
      <c r="F36" s="109" t="str">
        <f>IF('2.1 Absorcions arbres'!E29=0,"",'2.1 Absorcions arbres'!E29)</f>
        <v/>
      </c>
      <c r="G36" s="195" t="str">
        <f>IFERROR(VLOOKUP(F36,Dades_PA!$A$6:$H$32,8,FALSE),"")</f>
        <v/>
      </c>
      <c r="H36" s="107" t="str">
        <f t="shared" ref="H36:H42" si="9">$H$34</f>
        <v/>
      </c>
      <c r="I36" s="108"/>
      <c r="J36" s="195" t="str">
        <f t="shared" si="3"/>
        <v/>
      </c>
      <c r="K36" s="195" t="str">
        <f t="shared" si="4"/>
        <v>BST-</v>
      </c>
      <c r="L36" s="116"/>
      <c r="M36" s="227" t="str">
        <f t="shared" si="0"/>
        <v>Bb&lt;2iBf-</v>
      </c>
      <c r="N36" s="116"/>
      <c r="O36" s="115" t="str">
        <f t="shared" si="1"/>
        <v>Bb&gt;2-</v>
      </c>
      <c r="P36" s="116"/>
      <c r="Q36" s="109" t="str">
        <f t="shared" si="5"/>
        <v>Bt-</v>
      </c>
      <c r="R36" s="109" t="str">
        <f>IF(J36="Vives",0,IF(J36="Mortes",((INDEX(Dades_PA!$B$45:$Y$71,(MATCH('2.2 Emissions restes tallada'!F36,Espècies,0)),(MATCH('2.2 Emissions restes tallada'!K36,Dades_PA!$B$44:$Y$44,0))))*(Dades_PA!$B$39/100)*I36),""))</f>
        <v/>
      </c>
      <c r="S36" s="109" t="str">
        <f>IF(L36="Crema",((INDEX(Dades_PA!$B$45:$Y$71,(MATCH('2.2 Emissions restes tallada'!F36,Espècies,0)),(MATCH('2.2 Emissions restes tallada'!M36,Dades_PA!$B$44:$Y$44,0))))*I36),IF(L36="Descomposició",((INDEX(Dades_PA!$B$45:$Y$71,(MATCH('2.2 Emissions restes tallada'!F36,Espècies,0)),(MATCH('2.2 Emissions restes tallada'!M36,Dades_PA!$B$44:$Y$44,0))))*(Dades_PA!$B$39/100)*I36),IF(L36="Producte",0,"")))</f>
        <v/>
      </c>
      <c r="T36" s="109" t="str">
        <f>IF(N36="Crema",((INDEX(Dades_PA!$B$45:$Y$71,(MATCH('2.2 Emissions restes tallada'!F36,Espècies,0)),(MATCH('2.2 Emissions restes tallada'!O36,Dades_PA!$B$44:$Y$44,0))))*I36),IF(N36="Descomposició",((INDEX(Dades_PA!$B$45:$Y$71,(MATCH('2.2 Emissions restes tallada'!F36,Espècies,0)),(MATCH('2.2 Emissions restes tallada'!O36,Dades_PA!$B$44:$Y$44,0))))*(Dades_PA!$B$39/100)*I36),IF(N36="Producte",0,"")))</f>
        <v/>
      </c>
      <c r="U36" s="109" t="str">
        <f>IF(P36="Crema",((INDEX(Dades_PA!$B$45:$Y$71,(MATCH('2.2 Emissions restes tallada'!F36,Espècies,0)),(MATCH('2.2 Emissions restes tallada'!Q36,Dades_PA!$B$44:$Y$44,0))))*I36),IF(P36="Descomposició",((INDEX(Dades_PA!$B$45:$Y$71,(MATCH('2.2 Emissions restes tallada'!F36,Espècies,0)),(MATCH('2.2 Emissions restes tallada'!Q36,Dades_PA!$B$44:$Y$44,0))))*(Dades_PA!$B$39/100)*I36),IF(P36="Producte",0,"")))</f>
        <v/>
      </c>
      <c r="V36" s="130" t="str">
        <f t="shared" si="7"/>
        <v/>
      </c>
    </row>
    <row r="37" spans="2:25" ht="15" customHeight="1">
      <c r="E37" s="339"/>
      <c r="F37" s="109" t="str">
        <f>IF('2.1 Absorcions arbres'!E30=0,"",'2.1 Absorcions arbres'!E30)</f>
        <v/>
      </c>
      <c r="G37" s="195" t="str">
        <f>IFERROR(VLOOKUP(F37,Dades_PA!$A$6:$H$32,8,FALSE),"")</f>
        <v/>
      </c>
      <c r="H37" s="107" t="str">
        <f t="shared" si="9"/>
        <v/>
      </c>
      <c r="I37" s="108"/>
      <c r="J37" s="195" t="str">
        <f t="shared" si="3"/>
        <v/>
      </c>
      <c r="K37" s="195" t="str">
        <f t="shared" si="4"/>
        <v>BST-</v>
      </c>
      <c r="L37" s="116"/>
      <c r="M37" s="227" t="str">
        <f t="shared" si="0"/>
        <v>Bb&lt;2iBf-</v>
      </c>
      <c r="N37" s="116"/>
      <c r="O37" s="115" t="str">
        <f t="shared" si="1"/>
        <v>Bb&gt;2-</v>
      </c>
      <c r="P37" s="116"/>
      <c r="Q37" s="109" t="str">
        <f t="shared" si="5"/>
        <v>Bt-</v>
      </c>
      <c r="R37" s="109" t="str">
        <f>IF(J37="Vives",0,IF(J37="Mortes",((INDEX(Dades_PA!$B$45:$Y$71,(MATCH('2.2 Emissions restes tallada'!F37,Espècies,0)),(MATCH('2.2 Emissions restes tallada'!K37,Dades_PA!$B$44:$Y$44,0))))*(Dades_PA!$B$39/100)*I37),""))</f>
        <v/>
      </c>
      <c r="S37" s="109" t="str">
        <f>IF(L37="Crema",((INDEX(Dades_PA!$B$45:$Y$71,(MATCH('2.2 Emissions restes tallada'!F37,Espècies,0)),(MATCH('2.2 Emissions restes tallada'!M37,Dades_PA!$B$44:$Y$44,0))))*I37),IF(L37="Descomposició",((INDEX(Dades_PA!$B$45:$Y$71,(MATCH('2.2 Emissions restes tallada'!F37,Espècies,0)),(MATCH('2.2 Emissions restes tallada'!M37,Dades_PA!$B$44:$Y$44,0))))*(Dades_PA!$B$39/100)*I37),IF(L37="Producte",0,"")))</f>
        <v/>
      </c>
      <c r="T37" s="109" t="str">
        <f>IF(N37="Crema",((INDEX(Dades_PA!$B$45:$Y$71,(MATCH('2.2 Emissions restes tallada'!F37,Espècies,0)),(MATCH('2.2 Emissions restes tallada'!O37,Dades_PA!$B$44:$Y$44,0))))*I37),IF(N37="Descomposició",((INDEX(Dades_PA!$B$45:$Y$71,(MATCH('2.2 Emissions restes tallada'!F37,Espècies,0)),(MATCH('2.2 Emissions restes tallada'!O37,Dades_PA!$B$44:$Y$44,0))))*(Dades_PA!$B$39/100)*I37),IF(N37="Producte",0,"")))</f>
        <v/>
      </c>
      <c r="U37" s="109" t="str">
        <f>IF(P37="Crema",((INDEX(Dades_PA!$B$45:$Y$71,(MATCH('2.2 Emissions restes tallada'!F37,Espècies,0)),(MATCH('2.2 Emissions restes tallada'!Q37,Dades_PA!$B$44:$Y$44,0))))*I37),IF(P37="Descomposició",((INDEX(Dades_PA!$B$45:$Y$71,(MATCH('2.2 Emissions restes tallada'!F37,Espècies,0)),(MATCH('2.2 Emissions restes tallada'!Q37,Dades_PA!$B$44:$Y$44,0))))*(Dades_PA!$B$39/100)*I37),IF(P37="Producte",0,"")))</f>
        <v/>
      </c>
      <c r="V37" s="130" t="str">
        <f t="shared" si="7"/>
        <v/>
      </c>
    </row>
    <row r="38" spans="2:25" s="58" customFormat="1" ht="15" customHeight="1">
      <c r="B38" s="45"/>
      <c r="C38" s="45"/>
      <c r="D38" s="59"/>
      <c r="E38" s="339"/>
      <c r="F38" s="109" t="str">
        <f>IF('2.1 Absorcions arbres'!E31=0,"",'2.1 Absorcions arbres'!E31)</f>
        <v/>
      </c>
      <c r="G38" s="195" t="str">
        <f>IFERROR(VLOOKUP(F38,Dades_PA!$A$6:$H$32,8,FALSE),"")</f>
        <v/>
      </c>
      <c r="H38" s="107" t="str">
        <f t="shared" si="9"/>
        <v/>
      </c>
      <c r="I38" s="108"/>
      <c r="J38" s="195" t="str">
        <f t="shared" si="3"/>
        <v/>
      </c>
      <c r="K38" s="195" t="str">
        <f t="shared" si="4"/>
        <v>BST-</v>
      </c>
      <c r="L38" s="116"/>
      <c r="M38" s="227" t="str">
        <f t="shared" si="0"/>
        <v>Bb&lt;2iBf-</v>
      </c>
      <c r="N38" s="116"/>
      <c r="O38" s="115" t="str">
        <f t="shared" si="1"/>
        <v>Bb&gt;2-</v>
      </c>
      <c r="P38" s="116"/>
      <c r="Q38" s="109" t="str">
        <f t="shared" si="5"/>
        <v>Bt-</v>
      </c>
      <c r="R38" s="109" t="str">
        <f>IF(J38="Vives",0,IF(J38="Mortes",((INDEX(Dades_PA!$B$45:$Y$71,(MATCH('2.2 Emissions restes tallada'!F38,Espècies,0)),(MATCH('2.2 Emissions restes tallada'!K38,Dades_PA!$B$44:$Y$44,0))))*(Dades_PA!$B$39/100)*I38),""))</f>
        <v/>
      </c>
      <c r="S38" s="109" t="str">
        <f>IF(L38="Crema",((INDEX(Dades_PA!$B$45:$Y$71,(MATCH('2.2 Emissions restes tallada'!F38,Espècies,0)),(MATCH('2.2 Emissions restes tallada'!M38,Dades_PA!$B$44:$Y$44,0))))*I38),IF(L38="Descomposició",((INDEX(Dades_PA!$B$45:$Y$71,(MATCH('2.2 Emissions restes tallada'!F38,Espècies,0)),(MATCH('2.2 Emissions restes tallada'!M38,Dades_PA!$B$44:$Y$44,0))))*(Dades_PA!$B$39/100)*I38),IF(L38="Producte",0,"")))</f>
        <v/>
      </c>
      <c r="T38" s="109" t="str">
        <f>IF(N38="Crema",((INDEX(Dades_PA!$B$45:$Y$71,(MATCH('2.2 Emissions restes tallada'!F38,Espècies,0)),(MATCH('2.2 Emissions restes tallada'!O38,Dades_PA!$B$44:$Y$44,0))))*I38),IF(N38="Descomposició",((INDEX(Dades_PA!$B$45:$Y$71,(MATCH('2.2 Emissions restes tallada'!F38,Espècies,0)),(MATCH('2.2 Emissions restes tallada'!O38,Dades_PA!$B$44:$Y$44,0))))*(Dades_PA!$B$39/100)*I38),IF(N38="Producte",0,"")))</f>
        <v/>
      </c>
      <c r="U38" s="109" t="str">
        <f>IF(P38="Crema",((INDEX(Dades_PA!$B$45:$Y$71,(MATCH('2.2 Emissions restes tallada'!F38,Espècies,0)),(MATCH('2.2 Emissions restes tallada'!Q38,Dades_PA!$B$44:$Y$44,0))))*I38),IF(P38="Descomposició",((INDEX(Dades_PA!$B$45:$Y$71,(MATCH('2.2 Emissions restes tallada'!F38,Espècies,0)),(MATCH('2.2 Emissions restes tallada'!Q38,Dades_PA!$B$44:$Y$44,0))))*(Dades_PA!$B$39/100)*I38),IF(P38="Producte",0,"")))</f>
        <v/>
      </c>
      <c r="V38" s="130" t="str">
        <f t="shared" si="7"/>
        <v/>
      </c>
      <c r="W38" s="59"/>
      <c r="X38" s="59"/>
      <c r="Y38" s="59"/>
    </row>
    <row r="39" spans="2:25" ht="13.5" customHeight="1">
      <c r="E39" s="339"/>
      <c r="F39" s="109" t="str">
        <f>IF('2.1 Absorcions arbres'!E32=0,"",'2.1 Absorcions arbres'!E32)</f>
        <v/>
      </c>
      <c r="G39" s="195" t="str">
        <f>IFERROR(VLOOKUP(F39,Dades_PA!$A$6:$H$32,8,FALSE),"")</f>
        <v/>
      </c>
      <c r="H39" s="107" t="str">
        <f t="shared" si="9"/>
        <v/>
      </c>
      <c r="I39" s="108"/>
      <c r="J39" s="195" t="str">
        <f t="shared" si="3"/>
        <v/>
      </c>
      <c r="K39" s="195" t="str">
        <f t="shared" si="4"/>
        <v>BST-</v>
      </c>
      <c r="L39" s="116"/>
      <c r="M39" s="227" t="str">
        <f t="shared" si="0"/>
        <v>Bb&lt;2iBf-</v>
      </c>
      <c r="N39" s="116"/>
      <c r="O39" s="115" t="str">
        <f t="shared" si="1"/>
        <v>Bb&gt;2-</v>
      </c>
      <c r="P39" s="116"/>
      <c r="Q39" s="109" t="str">
        <f t="shared" si="5"/>
        <v>Bt-</v>
      </c>
      <c r="R39" s="109" t="str">
        <f>IF(J39="Vives",0,IF(J39="Mortes",((INDEX(Dades_PA!$B$45:$Y$71,(MATCH('2.2 Emissions restes tallada'!F39,Espècies,0)),(MATCH('2.2 Emissions restes tallada'!K39,Dades_PA!$B$44:$Y$44,0))))*(Dades_PA!$B$39/100)*I39),""))</f>
        <v/>
      </c>
      <c r="S39" s="109" t="str">
        <f>IF(L39="Crema",((INDEX(Dades_PA!$B$45:$Y$71,(MATCH('2.2 Emissions restes tallada'!F39,Espècies,0)),(MATCH('2.2 Emissions restes tallada'!M39,Dades_PA!$B$44:$Y$44,0))))*I39),IF(L39="Descomposició",((INDEX(Dades_PA!$B$45:$Y$71,(MATCH('2.2 Emissions restes tallada'!F39,Espècies,0)),(MATCH('2.2 Emissions restes tallada'!M39,Dades_PA!$B$44:$Y$44,0))))*(Dades_PA!$B$39/100)*I39),IF(L39="Producte",0,"")))</f>
        <v/>
      </c>
      <c r="T39" s="109" t="str">
        <f>IF(N39="Crema",((INDEX(Dades_PA!$B$45:$Y$71,(MATCH('2.2 Emissions restes tallada'!F39,Espècies,0)),(MATCH('2.2 Emissions restes tallada'!O39,Dades_PA!$B$44:$Y$44,0))))*I39),IF(N39="Descomposició",((INDEX(Dades_PA!$B$45:$Y$71,(MATCH('2.2 Emissions restes tallada'!F39,Espècies,0)),(MATCH('2.2 Emissions restes tallada'!O39,Dades_PA!$B$44:$Y$44,0))))*(Dades_PA!$B$39/100)*I39),IF(N39="Producte",0,"")))</f>
        <v/>
      </c>
      <c r="U39" s="109" t="str">
        <f>IF(P39="Crema",((INDEX(Dades_PA!$B$45:$Y$71,(MATCH('2.2 Emissions restes tallada'!F39,Espècies,0)),(MATCH('2.2 Emissions restes tallada'!Q39,Dades_PA!$B$44:$Y$44,0))))*I39),IF(P39="Descomposició",((INDEX(Dades_PA!$B$45:$Y$71,(MATCH('2.2 Emissions restes tallada'!F39,Espècies,0)),(MATCH('2.2 Emissions restes tallada'!Q39,Dades_PA!$B$44:$Y$44,0))))*(Dades_PA!$B$39/100)*I39),IF(P39="Producte",0,"")))</f>
        <v/>
      </c>
      <c r="V39" s="130" t="str">
        <f t="shared" si="7"/>
        <v/>
      </c>
    </row>
    <row r="40" spans="2:25" ht="15" customHeight="1">
      <c r="E40" s="339"/>
      <c r="F40" s="109" t="str">
        <f>IF('2.1 Absorcions arbres'!E33=0,"",'2.1 Absorcions arbres'!E33)</f>
        <v/>
      </c>
      <c r="G40" s="195" t="str">
        <f>IFERROR(VLOOKUP(F40,Dades_PA!$A$6:$H$32,8,FALSE),"")</f>
        <v/>
      </c>
      <c r="H40" s="107" t="str">
        <f t="shared" si="9"/>
        <v/>
      </c>
      <c r="I40" s="108"/>
      <c r="J40" s="195" t="str">
        <f t="shared" si="3"/>
        <v/>
      </c>
      <c r="K40" s="195" t="str">
        <f t="shared" si="4"/>
        <v>BST-</v>
      </c>
      <c r="L40" s="116"/>
      <c r="M40" s="227" t="str">
        <f t="shared" si="0"/>
        <v>Bb&lt;2iBf-</v>
      </c>
      <c r="N40" s="116"/>
      <c r="O40" s="115" t="str">
        <f t="shared" si="1"/>
        <v>Bb&gt;2-</v>
      </c>
      <c r="P40" s="116"/>
      <c r="Q40" s="109" t="str">
        <f t="shared" si="5"/>
        <v>Bt-</v>
      </c>
      <c r="R40" s="109" t="str">
        <f>IF(J40="Vives",0,IF(J40="Mortes",((INDEX(Dades_PA!$B$45:$Y$71,(MATCH('2.2 Emissions restes tallada'!F40,Espècies,0)),(MATCH('2.2 Emissions restes tallada'!K40,Dades_PA!$B$44:$Y$44,0))))*(Dades_PA!$B$39/100)*I40),""))</f>
        <v/>
      </c>
      <c r="S40" s="109" t="str">
        <f>IF(L40="Crema",((INDEX(Dades_PA!$B$45:$Y$71,(MATCH('2.2 Emissions restes tallada'!F40,Espècies,0)),(MATCH('2.2 Emissions restes tallada'!M40,Dades_PA!$B$44:$Y$44,0))))*I40),IF(L40="Descomposició",((INDEX(Dades_PA!$B$45:$Y$71,(MATCH('2.2 Emissions restes tallada'!F40,Espècies,0)),(MATCH('2.2 Emissions restes tallada'!M40,Dades_PA!$B$44:$Y$44,0))))*(Dades_PA!$B$39/100)*I40),IF(L40="Producte",0,"")))</f>
        <v/>
      </c>
      <c r="T40" s="109" t="str">
        <f>IF(N40="Crema",((INDEX(Dades_PA!$B$45:$Y$71,(MATCH('2.2 Emissions restes tallada'!F40,Espècies,0)),(MATCH('2.2 Emissions restes tallada'!O40,Dades_PA!$B$44:$Y$44,0))))*I40),IF(N40="Descomposició",((INDEX(Dades_PA!$B$45:$Y$71,(MATCH('2.2 Emissions restes tallada'!F40,Espècies,0)),(MATCH('2.2 Emissions restes tallada'!O40,Dades_PA!$B$44:$Y$44,0))))*(Dades_PA!$B$39/100)*I40),IF(N40="Producte",0,"")))</f>
        <v/>
      </c>
      <c r="U40" s="109" t="str">
        <f>IF(P40="Crema",((INDEX(Dades_PA!$B$45:$Y$71,(MATCH('2.2 Emissions restes tallada'!F40,Espècies,0)),(MATCH('2.2 Emissions restes tallada'!Q40,Dades_PA!$B$44:$Y$44,0))))*I40),IF(P40="Descomposició",((INDEX(Dades_PA!$B$45:$Y$71,(MATCH('2.2 Emissions restes tallada'!F40,Espècies,0)),(MATCH('2.2 Emissions restes tallada'!Q40,Dades_PA!$B$44:$Y$44,0))))*(Dades_PA!$B$39/100)*I40),IF(P40="Producte",0,"")))</f>
        <v/>
      </c>
      <c r="V40" s="130" t="str">
        <f t="shared" si="7"/>
        <v/>
      </c>
    </row>
    <row r="41" spans="2:25" ht="15" customHeight="1">
      <c r="E41" s="339"/>
      <c r="F41" s="109" t="str">
        <f>IF('2.1 Absorcions arbres'!E34=0,"",'2.1 Absorcions arbres'!E34)</f>
        <v/>
      </c>
      <c r="G41" s="195" t="str">
        <f>IFERROR(VLOOKUP(F41,Dades_PA!$A$6:$H$32,8,FALSE),"")</f>
        <v/>
      </c>
      <c r="H41" s="107" t="str">
        <f t="shared" si="9"/>
        <v/>
      </c>
      <c r="I41" s="108"/>
      <c r="J41" s="195" t="str">
        <f t="shared" si="3"/>
        <v/>
      </c>
      <c r="K41" s="195" t="str">
        <f t="shared" si="4"/>
        <v>BST-</v>
      </c>
      <c r="L41" s="116"/>
      <c r="M41" s="227" t="str">
        <f t="shared" si="0"/>
        <v>Bb&lt;2iBf-</v>
      </c>
      <c r="N41" s="116"/>
      <c r="O41" s="115" t="str">
        <f t="shared" si="1"/>
        <v>Bb&gt;2-</v>
      </c>
      <c r="P41" s="116"/>
      <c r="Q41" s="109" t="str">
        <f t="shared" si="5"/>
        <v>Bt-</v>
      </c>
      <c r="R41" s="109" t="str">
        <f>IF(J41="Vives",0,IF(J41="Mortes",((INDEX(Dades_PA!$B$45:$Y$71,(MATCH('2.2 Emissions restes tallada'!F41,Espècies,0)),(MATCH('2.2 Emissions restes tallada'!K41,Dades_PA!$B$44:$Y$44,0))))*(Dades_PA!$B$39/100)*I41),""))</f>
        <v/>
      </c>
      <c r="S41" s="109" t="str">
        <f>IF(L41="Crema",((INDEX(Dades_PA!$B$45:$Y$71,(MATCH('2.2 Emissions restes tallada'!F41,Espècies,0)),(MATCH('2.2 Emissions restes tallada'!M41,Dades_PA!$B$44:$Y$44,0))))*I41),IF(L41="Descomposició",((INDEX(Dades_PA!$B$45:$Y$71,(MATCH('2.2 Emissions restes tallada'!F41,Espècies,0)),(MATCH('2.2 Emissions restes tallada'!M41,Dades_PA!$B$44:$Y$44,0))))*(Dades_PA!$B$39/100)*I41),IF(L41="Producte",0,"")))</f>
        <v/>
      </c>
      <c r="T41" s="109" t="str">
        <f>IF(N41="Crema",((INDEX(Dades_PA!$B$45:$Y$71,(MATCH('2.2 Emissions restes tallada'!F41,Espècies,0)),(MATCH('2.2 Emissions restes tallada'!O41,Dades_PA!$B$44:$Y$44,0))))*I41),IF(N41="Descomposició",((INDEX(Dades_PA!$B$45:$Y$71,(MATCH('2.2 Emissions restes tallada'!F41,Espècies,0)),(MATCH('2.2 Emissions restes tallada'!O41,Dades_PA!$B$44:$Y$44,0))))*(Dades_PA!$B$39/100)*I41),IF(N41="Producte",0,"")))</f>
        <v/>
      </c>
      <c r="U41" s="109" t="str">
        <f>IF(P41="Crema",((INDEX(Dades_PA!$B$45:$Y$71,(MATCH('2.2 Emissions restes tallada'!F41,Espècies,0)),(MATCH('2.2 Emissions restes tallada'!Q41,Dades_PA!$B$44:$Y$44,0))))*I41),IF(P41="Descomposició",((INDEX(Dades_PA!$B$45:$Y$71,(MATCH('2.2 Emissions restes tallada'!F41,Espècies,0)),(MATCH('2.2 Emissions restes tallada'!Q41,Dades_PA!$B$44:$Y$44,0))))*(Dades_PA!$B$39/100)*I41),IF(P41="Producte",0,"")))</f>
        <v/>
      </c>
      <c r="V41" s="130" t="str">
        <f t="shared" si="7"/>
        <v/>
      </c>
    </row>
    <row r="42" spans="2:25" ht="15" customHeight="1">
      <c r="E42" s="339"/>
      <c r="F42" s="109" t="str">
        <f>IF('2.1 Absorcions arbres'!E35=0,"",'2.1 Absorcions arbres'!E35)</f>
        <v/>
      </c>
      <c r="G42" s="195" t="str">
        <f>IFERROR(VLOOKUP(F42,Dades_PA!$A$6:$H$32,8,FALSE),"")</f>
        <v/>
      </c>
      <c r="H42" s="107" t="str">
        <f t="shared" si="9"/>
        <v/>
      </c>
      <c r="I42" s="108"/>
      <c r="J42" s="195" t="str">
        <f t="shared" si="3"/>
        <v/>
      </c>
      <c r="K42" s="195" t="str">
        <f t="shared" si="4"/>
        <v>BST-</v>
      </c>
      <c r="L42" s="116"/>
      <c r="M42" s="227" t="str">
        <f t="shared" si="0"/>
        <v>Bb&lt;2iBf-</v>
      </c>
      <c r="N42" s="116"/>
      <c r="O42" s="115" t="str">
        <f t="shared" si="1"/>
        <v>Bb&gt;2-</v>
      </c>
      <c r="P42" s="116"/>
      <c r="Q42" s="109" t="str">
        <f t="shared" si="5"/>
        <v>Bt-</v>
      </c>
      <c r="R42" s="109" t="str">
        <f>IF(J42="Vives",0,IF(J42="Mortes",((INDEX(Dades_PA!$B$45:$Y$71,(MATCH('2.2 Emissions restes tallada'!F42,Espècies,0)),(MATCH('2.2 Emissions restes tallada'!K42,Dades_PA!$B$44:$Y$44,0))))*(Dades_PA!$B$39/100)*I42),""))</f>
        <v/>
      </c>
      <c r="S42" s="109" t="str">
        <f>IF(L42="Crema",((INDEX(Dades_PA!$B$45:$Y$71,(MATCH('2.2 Emissions restes tallada'!F42,Espècies,0)),(MATCH('2.2 Emissions restes tallada'!M42,Dades_PA!$B$44:$Y$44,0))))*I42),IF(L42="Descomposició",((INDEX(Dades_PA!$B$45:$Y$71,(MATCH('2.2 Emissions restes tallada'!F42,Espècies,0)),(MATCH('2.2 Emissions restes tallada'!M42,Dades_PA!$B$44:$Y$44,0))))*(Dades_PA!$B$39/100)*I42),IF(L42="Producte",0,"")))</f>
        <v/>
      </c>
      <c r="T42" s="109" t="str">
        <f>IF(N42="Crema",((INDEX(Dades_PA!$B$45:$Y$71,(MATCH('2.2 Emissions restes tallada'!F42,Espècies,0)),(MATCH('2.2 Emissions restes tallada'!O42,Dades_PA!$B$44:$Y$44,0))))*I42),IF(N42="Descomposició",((INDEX(Dades_PA!$B$45:$Y$71,(MATCH('2.2 Emissions restes tallada'!F42,Espècies,0)),(MATCH('2.2 Emissions restes tallada'!O42,Dades_PA!$B$44:$Y$44,0))))*(Dades_PA!$B$39/100)*I42),IF(N42="Producte",0,"")))</f>
        <v/>
      </c>
      <c r="U42" s="109" t="str">
        <f>IF(P42="Crema",((INDEX(Dades_PA!$B$45:$Y$71,(MATCH('2.2 Emissions restes tallada'!F42,Espècies,0)),(MATCH('2.2 Emissions restes tallada'!Q42,Dades_PA!$B$44:$Y$44,0))))*I42),IF(P42="Descomposició",((INDEX(Dades_PA!$B$45:$Y$71,(MATCH('2.2 Emissions restes tallada'!F42,Espècies,0)),(MATCH('2.2 Emissions restes tallada'!Q42,Dades_PA!$B$44:$Y$44,0))))*(Dades_PA!$B$39/100)*I42),IF(P42="Producte",0,"")))</f>
        <v/>
      </c>
      <c r="V42" s="130" t="str">
        <f t="shared" si="7"/>
        <v/>
      </c>
    </row>
    <row r="43" spans="2:25" ht="16.5" customHeight="1" thickBot="1">
      <c r="E43" s="340"/>
      <c r="F43" s="113" t="str">
        <f>IF('2.1 Absorcions arbres'!E36=0,"",'2.1 Absorcions arbres'!E36)</f>
        <v/>
      </c>
      <c r="G43" s="196" t="str">
        <f>IFERROR(VLOOKUP(F43,Dades_PA!$A$6:$H$32,8,FALSE),"")</f>
        <v/>
      </c>
      <c r="H43" s="111" t="str">
        <f>$H$34</f>
        <v/>
      </c>
      <c r="I43" s="112"/>
      <c r="J43" s="196" t="str">
        <f t="shared" si="3"/>
        <v/>
      </c>
      <c r="K43" s="196" t="str">
        <f t="shared" si="4"/>
        <v>BST-</v>
      </c>
      <c r="L43" s="118"/>
      <c r="M43" s="240" t="str">
        <f t="shared" si="0"/>
        <v>Bb&lt;2iBf-</v>
      </c>
      <c r="N43" s="118"/>
      <c r="O43" s="117" t="str">
        <f t="shared" si="1"/>
        <v>Bb&gt;2-</v>
      </c>
      <c r="P43" s="118"/>
      <c r="Q43" s="113" t="str">
        <f t="shared" si="5"/>
        <v>Bt-</v>
      </c>
      <c r="R43" s="113" t="str">
        <f>IF(J43="Vives",0,IF(J43="Mortes",((INDEX(Dades_PA!$B$45:$Y$71,(MATCH('2.2 Emissions restes tallada'!F43,Espècies,0)),(MATCH('2.2 Emissions restes tallada'!K43,Dades_PA!$B$44:$Y$44,0))))*(Dades_PA!$B$39/100)*I43),""))</f>
        <v/>
      </c>
      <c r="S43" s="113" t="str">
        <f>IF(L43="Crema",((INDEX(Dades_PA!$B$45:$Y$71,(MATCH('2.2 Emissions restes tallada'!F43,Espècies,0)),(MATCH('2.2 Emissions restes tallada'!M43,Dades_PA!$B$44:$Y$44,0))))*I43),IF(L43="Descomposició",((INDEX(Dades_PA!$B$45:$Y$71,(MATCH('2.2 Emissions restes tallada'!F43,Espècies,0)),(MATCH('2.2 Emissions restes tallada'!M43,Dades_PA!$B$44:$Y$44,0))))*(Dades_PA!$B$39/100)*I43),IF(L43="Producte",0,"")))</f>
        <v/>
      </c>
      <c r="T43" s="113" t="str">
        <f>IF(N43="Crema",((INDEX(Dades_PA!$B$45:$Y$71,(MATCH('2.2 Emissions restes tallada'!F43,Espècies,0)),(MATCH('2.2 Emissions restes tallada'!O43,Dades_PA!$B$44:$Y$44,0))))*I43),IF(N43="Descomposició",((INDEX(Dades_PA!$B$45:$Y$71,(MATCH('2.2 Emissions restes tallada'!F43,Espècies,0)),(MATCH('2.2 Emissions restes tallada'!O43,Dades_PA!$B$44:$Y$44,0))))*(Dades_PA!$B$39/100)*I43),IF(N43="Producte",0,"")))</f>
        <v/>
      </c>
      <c r="U43" s="113" t="str">
        <f>IF(P43="Crema",((INDEX(Dades_PA!$B$45:$Y$71,(MATCH('2.2 Emissions restes tallada'!F43,Espècies,0)),(MATCH('2.2 Emissions restes tallada'!Q43,Dades_PA!$B$44:$Y$44,0))))*I43),IF(P43="Descomposició",((INDEX(Dades_PA!$B$45:$Y$71,(MATCH('2.2 Emissions restes tallada'!F43,Espècies,0)),(MATCH('2.2 Emissions restes tallada'!Q43,Dades_PA!$B$44:$Y$44,0))))*(Dades_PA!$B$39/100)*I43),IF(P43="Producte",0,"")))</f>
        <v/>
      </c>
      <c r="V43" s="131" t="str">
        <f t="shared" si="7"/>
        <v/>
      </c>
    </row>
    <row r="44" spans="2:25" ht="16.5" customHeight="1">
      <c r="E44" s="338" t="str">
        <f>IF(('1. Dades generals del projecte'!D33)="","",('1. Dades generals del projecte'!D33))</f>
        <v/>
      </c>
      <c r="F44" s="105" t="str">
        <f>IF('2.1 Absorcions arbres'!E37=0,"",'2.1 Absorcions arbres'!E37)</f>
        <v/>
      </c>
      <c r="G44" s="194" t="str">
        <f>IFERROR(VLOOKUP(F44,Dades_PA!$A$6:$H$32,8,FALSE),"")</f>
        <v/>
      </c>
      <c r="H44" s="103" t="str">
        <f>IF(('2.1 Absorcions arbres'!H37&gt;0),('2.1 Absorcions arbres'!H37),"")</f>
        <v/>
      </c>
      <c r="I44" s="104"/>
      <c r="J44" s="194" t="str">
        <f t="shared" si="3"/>
        <v/>
      </c>
      <c r="K44" s="194" t="str">
        <f t="shared" si="4"/>
        <v>BST-</v>
      </c>
      <c r="L44" s="101"/>
      <c r="M44" s="114" t="str">
        <f t="shared" si="0"/>
        <v>Bb&lt;2iBf-</v>
      </c>
      <c r="N44" s="101"/>
      <c r="O44" s="114" t="str">
        <f t="shared" si="1"/>
        <v>Bb&gt;2-</v>
      </c>
      <c r="P44" s="101"/>
      <c r="Q44" s="105" t="str">
        <f t="shared" si="5"/>
        <v>Bt-</v>
      </c>
      <c r="R44" s="105" t="str">
        <f>IF(J44="Vives",0,IF(J44="Mortes",((INDEX(Dades_PA!$B$45:$Y$71,(MATCH('2.2 Emissions restes tallada'!F44,Espècies,0)),(MATCH('2.2 Emissions restes tallada'!K44,Dades_PA!$B$44:$Y$44,0))))*(Dades_PA!$B$39/100)*I44),""))</f>
        <v/>
      </c>
      <c r="S44" s="105" t="str">
        <f>IF(L44="Crema",((INDEX(Dades_PA!$B$45:$Y$71,(MATCH('2.2 Emissions restes tallada'!F44,Espècies,0)),(MATCH('2.2 Emissions restes tallada'!M44,Dades_PA!$B$44:$Y$44,0))))*I44),IF(L44="Descomposició",((INDEX(Dades_PA!$B$45:$Y$71,(MATCH('2.2 Emissions restes tallada'!F44,Espècies,0)),(MATCH('2.2 Emissions restes tallada'!M44,Dades_PA!$B$44:$Y$44,0))))*(Dades_PA!$B$39/100)*I44),IF(L44="Producte",0,"")))</f>
        <v/>
      </c>
      <c r="T44" s="105" t="str">
        <f>IF(N44="Crema",((INDEX(Dades_PA!$B$45:$Y$71,(MATCH('2.2 Emissions restes tallada'!F44,Espècies,0)),(MATCH('2.2 Emissions restes tallada'!O44,Dades_PA!$B$44:$Y$44,0))))*I44),IF(N44="Descomposició",((INDEX(Dades_PA!$B$45:$Y$71,(MATCH('2.2 Emissions restes tallada'!F44,Espècies,0)),(MATCH('2.2 Emissions restes tallada'!O44,Dades_PA!$B$44:$Y$44,0))))*(Dades_PA!$B$39/100)*I44),IF(N44="Producte",0,"")))</f>
        <v/>
      </c>
      <c r="U44" s="105" t="str">
        <f>IF(P44="Crema",((INDEX(Dades_PA!$B$45:$Y$71,(MATCH('2.2 Emissions restes tallada'!F44,Espècies,0)),(MATCH('2.2 Emissions restes tallada'!Q44,Dades_PA!$B$44:$Y$44,0))))*I44),IF(P44="Descomposició",((INDEX(Dades_PA!$B$45:$Y$71,(MATCH('2.2 Emissions restes tallada'!F44,Espècies,0)),(MATCH('2.2 Emissions restes tallada'!Q44,Dades_PA!$B$44:$Y$44,0))))*(Dades_PA!$B$39/100)*I44),IF(P44="Producte",0,"")))</f>
        <v/>
      </c>
      <c r="V44" s="129" t="str">
        <f t="shared" si="7"/>
        <v/>
      </c>
    </row>
    <row r="45" spans="2:25" ht="16.5" customHeight="1">
      <c r="E45" s="339"/>
      <c r="F45" s="109" t="str">
        <f>IF('2.1 Absorcions arbres'!E38=0,"",'2.1 Absorcions arbres'!E38)</f>
        <v/>
      </c>
      <c r="G45" s="195" t="str">
        <f>IFERROR(VLOOKUP(F45,Dades_PA!$A$6:$H$32,8,FALSE),"")</f>
        <v/>
      </c>
      <c r="H45" s="107" t="str">
        <f>$H$44</f>
        <v/>
      </c>
      <c r="I45" s="108"/>
      <c r="J45" s="195" t="str">
        <f t="shared" si="3"/>
        <v/>
      </c>
      <c r="K45" s="195" t="str">
        <f t="shared" si="4"/>
        <v>BST-</v>
      </c>
      <c r="L45" s="116"/>
      <c r="M45" s="227" t="str">
        <f t="shared" si="0"/>
        <v>Bb&lt;2iBf-</v>
      </c>
      <c r="N45" s="116"/>
      <c r="O45" s="115" t="str">
        <f t="shared" si="1"/>
        <v>Bb&gt;2-</v>
      </c>
      <c r="P45" s="116"/>
      <c r="Q45" s="109" t="str">
        <f t="shared" si="5"/>
        <v>Bt-</v>
      </c>
      <c r="R45" s="109" t="str">
        <f>IF(J45="Vives",0,IF(J45="Mortes",((INDEX(Dades_PA!$B$45:$Y$71,(MATCH('2.2 Emissions restes tallada'!F45,Espècies,0)),(MATCH('2.2 Emissions restes tallada'!K45,Dades_PA!$B$44:$Y$44,0))))*(Dades_PA!$B$39/100)*I45),""))</f>
        <v/>
      </c>
      <c r="S45" s="109" t="str">
        <f>IF(L45="Crema",((INDEX(Dades_PA!$B$45:$Y$71,(MATCH('2.2 Emissions restes tallada'!F45,Espècies,0)),(MATCH('2.2 Emissions restes tallada'!M45,Dades_PA!$B$44:$Y$44,0))))*I45),IF(L45="Descomposició",((INDEX(Dades_PA!$B$45:$Y$71,(MATCH('2.2 Emissions restes tallada'!F45,Espècies,0)),(MATCH('2.2 Emissions restes tallada'!M45,Dades_PA!$B$44:$Y$44,0))))*(Dades_PA!$B$39/100)*I45),IF(L45="Producte",0,"")))</f>
        <v/>
      </c>
      <c r="T45" s="109" t="str">
        <f>IF(N45="Crema",((INDEX(Dades_PA!$B$45:$Y$71,(MATCH('2.2 Emissions restes tallada'!F45,Espècies,0)),(MATCH('2.2 Emissions restes tallada'!O45,Dades_PA!$B$44:$Y$44,0))))*I45),IF(N45="Descomposició",((INDEX(Dades_PA!$B$45:$Y$71,(MATCH('2.2 Emissions restes tallada'!F45,Espècies,0)),(MATCH('2.2 Emissions restes tallada'!O45,Dades_PA!$B$44:$Y$44,0))))*(Dades_PA!$B$39/100)*I45),IF(N45="Producte",0,"")))</f>
        <v/>
      </c>
      <c r="U45" s="109" t="str">
        <f>IF(P45="Crema",((INDEX(Dades_PA!$B$45:$Y$71,(MATCH('2.2 Emissions restes tallada'!F45,Espècies,0)),(MATCH('2.2 Emissions restes tallada'!Q45,Dades_PA!$B$44:$Y$44,0))))*I45),IF(P45="Descomposició",((INDEX(Dades_PA!$B$45:$Y$71,(MATCH('2.2 Emissions restes tallada'!F45,Espècies,0)),(MATCH('2.2 Emissions restes tallada'!Q45,Dades_PA!$B$44:$Y$44,0))))*(Dades_PA!$B$39/100)*I45),IF(P45="Producte",0,"")))</f>
        <v/>
      </c>
      <c r="V45" s="130" t="str">
        <f t="shared" si="7"/>
        <v/>
      </c>
    </row>
    <row r="46" spans="2:25" ht="16.5" customHeight="1">
      <c r="E46" s="339"/>
      <c r="F46" s="109" t="str">
        <f>IF('2.1 Absorcions arbres'!E39=0,"",'2.1 Absorcions arbres'!E39)</f>
        <v/>
      </c>
      <c r="G46" s="195" t="str">
        <f>IFERROR(VLOOKUP(F46,Dades_PA!$A$6:$H$32,8,FALSE),"")</f>
        <v/>
      </c>
      <c r="H46" s="107" t="str">
        <f t="shared" ref="H46:H53" si="10">$H$44</f>
        <v/>
      </c>
      <c r="I46" s="108"/>
      <c r="J46" s="195" t="str">
        <f t="shared" si="3"/>
        <v/>
      </c>
      <c r="K46" s="195" t="str">
        <f t="shared" si="4"/>
        <v>BST-</v>
      </c>
      <c r="L46" s="116"/>
      <c r="M46" s="227" t="str">
        <f t="shared" si="0"/>
        <v>Bb&lt;2iBf-</v>
      </c>
      <c r="N46" s="116"/>
      <c r="O46" s="115" t="str">
        <f t="shared" si="1"/>
        <v>Bb&gt;2-</v>
      </c>
      <c r="P46" s="116"/>
      <c r="Q46" s="109" t="str">
        <f t="shared" si="5"/>
        <v>Bt-</v>
      </c>
      <c r="R46" s="109" t="str">
        <f>IF(J46="Vives",0,IF(J46="Mortes",((INDEX(Dades_PA!$B$45:$Y$71,(MATCH('2.2 Emissions restes tallada'!F46,Espècies,0)),(MATCH('2.2 Emissions restes tallada'!K46,Dades_PA!$B$44:$Y$44,0))))*(Dades_PA!$B$39/100)*I46),""))</f>
        <v/>
      </c>
      <c r="S46" s="109" t="str">
        <f>IF(L46="Crema",((INDEX(Dades_PA!$B$45:$Y$71,(MATCH('2.2 Emissions restes tallada'!F46,Espècies,0)),(MATCH('2.2 Emissions restes tallada'!M46,Dades_PA!$B$44:$Y$44,0))))*I46),IF(L46="Descomposició",((INDEX(Dades_PA!$B$45:$Y$71,(MATCH('2.2 Emissions restes tallada'!F46,Espècies,0)),(MATCH('2.2 Emissions restes tallada'!M46,Dades_PA!$B$44:$Y$44,0))))*(Dades_PA!$B$39/100)*I46),IF(L46="Producte",0,"")))</f>
        <v/>
      </c>
      <c r="T46" s="109" t="str">
        <f>IF(N46="Crema",((INDEX(Dades_PA!$B$45:$Y$71,(MATCH('2.2 Emissions restes tallada'!F46,Espècies,0)),(MATCH('2.2 Emissions restes tallada'!O46,Dades_PA!$B$44:$Y$44,0))))*I46),IF(N46="Descomposició",((INDEX(Dades_PA!$B$45:$Y$71,(MATCH('2.2 Emissions restes tallada'!F46,Espècies,0)),(MATCH('2.2 Emissions restes tallada'!O46,Dades_PA!$B$44:$Y$44,0))))*(Dades_PA!$B$39/100)*I46),IF(N46="Producte",0,"")))</f>
        <v/>
      </c>
      <c r="U46" s="109" t="str">
        <f>IF(P46="Crema",((INDEX(Dades_PA!$B$45:$Y$71,(MATCH('2.2 Emissions restes tallada'!F46,Espècies,0)),(MATCH('2.2 Emissions restes tallada'!Q46,Dades_PA!$B$44:$Y$44,0))))*I46),IF(P46="Descomposició",((INDEX(Dades_PA!$B$45:$Y$71,(MATCH('2.2 Emissions restes tallada'!F46,Espècies,0)),(MATCH('2.2 Emissions restes tallada'!Q46,Dades_PA!$B$44:$Y$44,0))))*(Dades_PA!$B$39/100)*I46),IF(P46="Producte",0,"")))</f>
        <v/>
      </c>
      <c r="V46" s="130" t="str">
        <f t="shared" si="7"/>
        <v/>
      </c>
    </row>
    <row r="47" spans="2:25" ht="16.5" customHeight="1">
      <c r="E47" s="339"/>
      <c r="F47" s="109" t="str">
        <f>IF('2.1 Absorcions arbres'!E40=0,"",'2.1 Absorcions arbres'!E40)</f>
        <v/>
      </c>
      <c r="G47" s="195" t="str">
        <f>IFERROR(VLOOKUP(F47,Dades_PA!$A$6:$H$32,8,FALSE),"")</f>
        <v/>
      </c>
      <c r="H47" s="107" t="str">
        <f t="shared" si="10"/>
        <v/>
      </c>
      <c r="I47" s="108"/>
      <c r="J47" s="195" t="str">
        <f t="shared" si="3"/>
        <v/>
      </c>
      <c r="K47" s="195" t="str">
        <f t="shared" si="4"/>
        <v>BST-</v>
      </c>
      <c r="L47" s="116"/>
      <c r="M47" s="227" t="str">
        <f t="shared" si="0"/>
        <v>Bb&lt;2iBf-</v>
      </c>
      <c r="N47" s="116"/>
      <c r="O47" s="115" t="str">
        <f t="shared" si="1"/>
        <v>Bb&gt;2-</v>
      </c>
      <c r="P47" s="116"/>
      <c r="Q47" s="109" t="str">
        <f t="shared" si="5"/>
        <v>Bt-</v>
      </c>
      <c r="R47" s="109" t="str">
        <f>IF(J47="Vives",0,IF(J47="Mortes",((INDEX(Dades_PA!$B$45:$Y$71,(MATCH('2.2 Emissions restes tallada'!F47,Espècies,0)),(MATCH('2.2 Emissions restes tallada'!K47,Dades_PA!$B$44:$Y$44,0))))*(Dades_PA!$B$39/100)*I47),""))</f>
        <v/>
      </c>
      <c r="S47" s="109" t="str">
        <f>IF(L47="Crema",((INDEX(Dades_PA!$B$45:$Y$71,(MATCH('2.2 Emissions restes tallada'!F47,Espècies,0)),(MATCH('2.2 Emissions restes tallada'!M47,Dades_PA!$B$44:$Y$44,0))))*I47),IF(L47="Descomposició",((INDEX(Dades_PA!$B$45:$Y$71,(MATCH('2.2 Emissions restes tallada'!F47,Espècies,0)),(MATCH('2.2 Emissions restes tallada'!M47,Dades_PA!$B$44:$Y$44,0))))*(Dades_PA!$B$39/100)*I47),IF(L47="Producte",0,"")))</f>
        <v/>
      </c>
      <c r="T47" s="109" t="str">
        <f>IF(N47="Crema",((INDEX(Dades_PA!$B$45:$Y$71,(MATCH('2.2 Emissions restes tallada'!F47,Espècies,0)),(MATCH('2.2 Emissions restes tallada'!O47,Dades_PA!$B$44:$Y$44,0))))*I47),IF(N47="Descomposició",((INDEX(Dades_PA!$B$45:$Y$71,(MATCH('2.2 Emissions restes tallada'!F47,Espècies,0)),(MATCH('2.2 Emissions restes tallada'!O47,Dades_PA!$B$44:$Y$44,0))))*(Dades_PA!$B$39/100)*I47),IF(N47="Producte",0,"")))</f>
        <v/>
      </c>
      <c r="U47" s="109" t="str">
        <f>IF(P47="Crema",((INDEX(Dades_PA!$B$45:$Y$71,(MATCH('2.2 Emissions restes tallada'!F47,Espècies,0)),(MATCH('2.2 Emissions restes tallada'!Q47,Dades_PA!$B$44:$Y$44,0))))*I47),IF(P47="Descomposició",((INDEX(Dades_PA!$B$45:$Y$71,(MATCH('2.2 Emissions restes tallada'!F47,Espècies,0)),(MATCH('2.2 Emissions restes tallada'!Q47,Dades_PA!$B$44:$Y$44,0))))*(Dades_PA!$B$39/100)*I47),IF(P47="Producte",0,"")))</f>
        <v/>
      </c>
      <c r="V47" s="130" t="str">
        <f t="shared" si="7"/>
        <v/>
      </c>
    </row>
    <row r="48" spans="2:25" ht="16.5" customHeight="1">
      <c r="E48" s="339"/>
      <c r="F48" s="109" t="str">
        <f>IF('2.1 Absorcions arbres'!E41=0,"",'2.1 Absorcions arbres'!E41)</f>
        <v/>
      </c>
      <c r="G48" s="195" t="str">
        <f>IFERROR(VLOOKUP(F48,Dades_PA!$A$6:$H$32,8,FALSE),"")</f>
        <v/>
      </c>
      <c r="H48" s="107" t="str">
        <f t="shared" si="10"/>
        <v/>
      </c>
      <c r="I48" s="108"/>
      <c r="J48" s="195" t="str">
        <f t="shared" si="3"/>
        <v/>
      </c>
      <c r="K48" s="195" t="str">
        <f t="shared" si="4"/>
        <v>BST-</v>
      </c>
      <c r="L48" s="116"/>
      <c r="M48" s="227" t="str">
        <f t="shared" si="0"/>
        <v>Bb&lt;2iBf-</v>
      </c>
      <c r="N48" s="116"/>
      <c r="O48" s="115" t="str">
        <f t="shared" si="1"/>
        <v>Bb&gt;2-</v>
      </c>
      <c r="P48" s="116"/>
      <c r="Q48" s="109" t="str">
        <f t="shared" si="5"/>
        <v>Bt-</v>
      </c>
      <c r="R48" s="109" t="str">
        <f>IF(J48="Vives",0,IF(J48="Mortes",((INDEX(Dades_PA!$B$45:$Y$71,(MATCH('2.2 Emissions restes tallada'!F48,Espècies,0)),(MATCH('2.2 Emissions restes tallada'!K48,Dades_PA!$B$44:$Y$44,0))))*(Dades_PA!$B$39/100)*I48),""))</f>
        <v/>
      </c>
      <c r="S48" s="109" t="str">
        <f>IF(L48="Crema",((INDEX(Dades_PA!$B$45:$Y$71,(MATCH('2.2 Emissions restes tallada'!F48,Espècies,0)),(MATCH('2.2 Emissions restes tallada'!M48,Dades_PA!$B$44:$Y$44,0))))*I48),IF(L48="Descomposició",((INDEX(Dades_PA!$B$45:$Y$71,(MATCH('2.2 Emissions restes tallada'!F48,Espècies,0)),(MATCH('2.2 Emissions restes tallada'!M48,Dades_PA!$B$44:$Y$44,0))))*(Dades_PA!$B$39/100)*I48),IF(L48="Producte",0,"")))</f>
        <v/>
      </c>
      <c r="T48" s="109" t="str">
        <f>IF(N48="Crema",((INDEX(Dades_PA!$B$45:$Y$71,(MATCH('2.2 Emissions restes tallada'!F48,Espècies,0)),(MATCH('2.2 Emissions restes tallada'!O48,Dades_PA!$B$44:$Y$44,0))))*I48),IF(N48="Descomposició",((INDEX(Dades_PA!$B$45:$Y$71,(MATCH('2.2 Emissions restes tallada'!F48,Espècies,0)),(MATCH('2.2 Emissions restes tallada'!O48,Dades_PA!$B$44:$Y$44,0))))*(Dades_PA!$B$39/100)*I48),IF(N48="Producte",0,"")))</f>
        <v/>
      </c>
      <c r="U48" s="109" t="str">
        <f>IF(P48="Crema",((INDEX(Dades_PA!$B$45:$Y$71,(MATCH('2.2 Emissions restes tallada'!F48,Espècies,0)),(MATCH('2.2 Emissions restes tallada'!Q48,Dades_PA!$B$44:$Y$44,0))))*I48),IF(P48="Descomposició",((INDEX(Dades_PA!$B$45:$Y$71,(MATCH('2.2 Emissions restes tallada'!F48,Espècies,0)),(MATCH('2.2 Emissions restes tallada'!Q48,Dades_PA!$B$44:$Y$44,0))))*(Dades_PA!$B$39/100)*I48),IF(P48="Producte",0,"")))</f>
        <v/>
      </c>
      <c r="V48" s="130" t="str">
        <f t="shared" si="7"/>
        <v/>
      </c>
    </row>
    <row r="49" spans="5:22" ht="16.5" customHeight="1">
      <c r="E49" s="339"/>
      <c r="F49" s="109" t="str">
        <f>IF('2.1 Absorcions arbres'!E42=0,"",'2.1 Absorcions arbres'!E42)</f>
        <v/>
      </c>
      <c r="G49" s="195" t="str">
        <f>IFERROR(VLOOKUP(F49,Dades_PA!$A$6:$H$32,8,FALSE),"")</f>
        <v/>
      </c>
      <c r="H49" s="107" t="str">
        <f t="shared" si="10"/>
        <v/>
      </c>
      <c r="I49" s="108"/>
      <c r="J49" s="195" t="str">
        <f t="shared" si="3"/>
        <v/>
      </c>
      <c r="K49" s="195" t="str">
        <f t="shared" si="4"/>
        <v>BST-</v>
      </c>
      <c r="L49" s="116"/>
      <c r="M49" s="227" t="str">
        <f t="shared" si="0"/>
        <v>Bb&lt;2iBf-</v>
      </c>
      <c r="N49" s="116"/>
      <c r="O49" s="115" t="str">
        <f t="shared" si="1"/>
        <v>Bb&gt;2-</v>
      </c>
      <c r="P49" s="116"/>
      <c r="Q49" s="109" t="str">
        <f t="shared" si="5"/>
        <v>Bt-</v>
      </c>
      <c r="R49" s="109" t="str">
        <f>IF(J49="Vives",0,IF(J49="Mortes",((INDEX(Dades_PA!$B$45:$Y$71,(MATCH('2.2 Emissions restes tallada'!F49,Espècies,0)),(MATCH('2.2 Emissions restes tallada'!K49,Dades_PA!$B$44:$Y$44,0))))*(Dades_PA!$B$39/100)*I49),""))</f>
        <v/>
      </c>
      <c r="S49" s="109" t="str">
        <f>IF(L49="Crema",((INDEX(Dades_PA!$B$45:$Y$71,(MATCH('2.2 Emissions restes tallada'!F49,Espècies,0)),(MATCH('2.2 Emissions restes tallada'!M49,Dades_PA!$B$44:$Y$44,0))))*I49),IF(L49="Descomposició",((INDEX(Dades_PA!$B$45:$Y$71,(MATCH('2.2 Emissions restes tallada'!F49,Espècies,0)),(MATCH('2.2 Emissions restes tallada'!M49,Dades_PA!$B$44:$Y$44,0))))*(Dades_PA!$B$39/100)*I49),IF(L49="Producte",0,"")))</f>
        <v/>
      </c>
      <c r="T49" s="109" t="str">
        <f>IF(N49="Crema",((INDEX(Dades_PA!$B$45:$Y$71,(MATCH('2.2 Emissions restes tallada'!F49,Espècies,0)),(MATCH('2.2 Emissions restes tallada'!O49,Dades_PA!$B$44:$Y$44,0))))*I49),IF(N49="Descomposició",((INDEX(Dades_PA!$B$45:$Y$71,(MATCH('2.2 Emissions restes tallada'!F49,Espècies,0)),(MATCH('2.2 Emissions restes tallada'!O49,Dades_PA!$B$44:$Y$44,0))))*(Dades_PA!$B$39/100)*I49),IF(N49="Producte",0,"")))</f>
        <v/>
      </c>
      <c r="U49" s="109" t="str">
        <f>IF(P49="Crema",((INDEX(Dades_PA!$B$45:$Y$71,(MATCH('2.2 Emissions restes tallada'!F49,Espècies,0)),(MATCH('2.2 Emissions restes tallada'!Q49,Dades_PA!$B$44:$Y$44,0))))*I49),IF(P49="Descomposició",((INDEX(Dades_PA!$B$45:$Y$71,(MATCH('2.2 Emissions restes tallada'!F49,Espècies,0)),(MATCH('2.2 Emissions restes tallada'!Q49,Dades_PA!$B$44:$Y$44,0))))*(Dades_PA!$B$39/100)*I49),IF(P49="Producte",0,"")))</f>
        <v/>
      </c>
      <c r="V49" s="130" t="str">
        <f t="shared" si="7"/>
        <v/>
      </c>
    </row>
    <row r="50" spans="5:22" ht="15" customHeight="1">
      <c r="E50" s="339"/>
      <c r="F50" s="109" t="str">
        <f>IF('2.1 Absorcions arbres'!E43=0,"",'2.1 Absorcions arbres'!E43)</f>
        <v/>
      </c>
      <c r="G50" s="195" t="str">
        <f>IFERROR(VLOOKUP(F50,Dades_PA!$A$6:$H$32,8,FALSE),"")</f>
        <v/>
      </c>
      <c r="H50" s="107" t="str">
        <f t="shared" si="10"/>
        <v/>
      </c>
      <c r="I50" s="108"/>
      <c r="J50" s="195" t="str">
        <f t="shared" si="3"/>
        <v/>
      </c>
      <c r="K50" s="195" t="str">
        <f t="shared" si="4"/>
        <v>BST-</v>
      </c>
      <c r="L50" s="116"/>
      <c r="M50" s="227" t="str">
        <f t="shared" si="0"/>
        <v>Bb&lt;2iBf-</v>
      </c>
      <c r="N50" s="116"/>
      <c r="O50" s="115" t="str">
        <f t="shared" si="1"/>
        <v>Bb&gt;2-</v>
      </c>
      <c r="P50" s="116"/>
      <c r="Q50" s="109" t="str">
        <f t="shared" si="5"/>
        <v>Bt-</v>
      </c>
      <c r="R50" s="109" t="str">
        <f>IF(J50="Vives",0,IF(J50="Mortes",((INDEX(Dades_PA!$B$45:$Y$71,(MATCH('2.2 Emissions restes tallada'!F50,Espècies,0)),(MATCH('2.2 Emissions restes tallada'!K50,Dades_PA!$B$44:$Y$44,0))))*(Dades_PA!$B$39/100)*I50),""))</f>
        <v/>
      </c>
      <c r="S50" s="109" t="str">
        <f>IF(L50="Crema",((INDEX(Dades_PA!$B$45:$Y$71,(MATCH('2.2 Emissions restes tallada'!F50,Espècies,0)),(MATCH('2.2 Emissions restes tallada'!M50,Dades_PA!$B$44:$Y$44,0))))*I50),IF(L50="Descomposició",((INDEX(Dades_PA!$B$45:$Y$71,(MATCH('2.2 Emissions restes tallada'!F50,Espècies,0)),(MATCH('2.2 Emissions restes tallada'!M50,Dades_PA!$B$44:$Y$44,0))))*(Dades_PA!$B$39/100)*I50),IF(L50="Producte",0,"")))</f>
        <v/>
      </c>
      <c r="T50" s="109" t="str">
        <f>IF(N50="Crema",((INDEX(Dades_PA!$B$45:$Y$71,(MATCH('2.2 Emissions restes tallada'!F50,Espècies,0)),(MATCH('2.2 Emissions restes tallada'!O50,Dades_PA!$B$44:$Y$44,0))))*I50),IF(N50="Descomposició",((INDEX(Dades_PA!$B$45:$Y$71,(MATCH('2.2 Emissions restes tallada'!F50,Espècies,0)),(MATCH('2.2 Emissions restes tallada'!O50,Dades_PA!$B$44:$Y$44,0))))*(Dades_PA!$B$39/100)*I50),IF(N50="Producte",0,"")))</f>
        <v/>
      </c>
      <c r="U50" s="109" t="str">
        <f>IF(P50="Crema",((INDEX(Dades_PA!$B$45:$Y$71,(MATCH('2.2 Emissions restes tallada'!F50,Espècies,0)),(MATCH('2.2 Emissions restes tallada'!Q50,Dades_PA!$B$44:$Y$44,0))))*I50),IF(P50="Descomposició",((INDEX(Dades_PA!$B$45:$Y$71,(MATCH('2.2 Emissions restes tallada'!F50,Espècies,0)),(MATCH('2.2 Emissions restes tallada'!Q50,Dades_PA!$B$44:$Y$44,0))))*(Dades_PA!$B$39/100)*I50),IF(P50="Producte",0,"")))</f>
        <v/>
      </c>
      <c r="V50" s="130" t="str">
        <f t="shared" si="7"/>
        <v/>
      </c>
    </row>
    <row r="51" spans="5:22" ht="16.5" customHeight="1">
      <c r="E51" s="339"/>
      <c r="F51" s="109" t="str">
        <f>IF('2.1 Absorcions arbres'!E44=0,"",'2.1 Absorcions arbres'!E44)</f>
        <v/>
      </c>
      <c r="G51" s="195" t="str">
        <f>IFERROR(VLOOKUP(F51,Dades_PA!$A$6:$H$32,8,FALSE),"")</f>
        <v/>
      </c>
      <c r="H51" s="107" t="str">
        <f t="shared" si="10"/>
        <v/>
      </c>
      <c r="I51" s="108"/>
      <c r="J51" s="195" t="str">
        <f t="shared" si="3"/>
        <v/>
      </c>
      <c r="K51" s="195" t="str">
        <f t="shared" si="4"/>
        <v>BST-</v>
      </c>
      <c r="L51" s="116"/>
      <c r="M51" s="227" t="str">
        <f t="shared" si="0"/>
        <v>Bb&lt;2iBf-</v>
      </c>
      <c r="N51" s="116"/>
      <c r="O51" s="115" t="str">
        <f t="shared" si="1"/>
        <v>Bb&gt;2-</v>
      </c>
      <c r="P51" s="116"/>
      <c r="Q51" s="109" t="str">
        <f t="shared" si="5"/>
        <v>Bt-</v>
      </c>
      <c r="R51" s="109" t="str">
        <f>IF(J51="Vives",0,IF(J51="Mortes",((INDEX(Dades_PA!$B$45:$Y$71,(MATCH('2.2 Emissions restes tallada'!F51,Espècies,0)),(MATCH('2.2 Emissions restes tallada'!K51,Dades_PA!$B$44:$Y$44,0))))*(Dades_PA!$B$39/100)*I51),""))</f>
        <v/>
      </c>
      <c r="S51" s="109" t="str">
        <f>IF(L51="Crema",((INDEX(Dades_PA!$B$45:$Y$71,(MATCH('2.2 Emissions restes tallada'!F51,Espècies,0)),(MATCH('2.2 Emissions restes tallada'!M51,Dades_PA!$B$44:$Y$44,0))))*I51),IF(L51="Descomposició",((INDEX(Dades_PA!$B$45:$Y$71,(MATCH('2.2 Emissions restes tallada'!F51,Espècies,0)),(MATCH('2.2 Emissions restes tallada'!M51,Dades_PA!$B$44:$Y$44,0))))*(Dades_PA!$B$39/100)*I51),IF(L51="Producte",0,"")))</f>
        <v/>
      </c>
      <c r="T51" s="109" t="str">
        <f>IF(N51="Crema",((INDEX(Dades_PA!$B$45:$Y$71,(MATCH('2.2 Emissions restes tallada'!F51,Espècies,0)),(MATCH('2.2 Emissions restes tallada'!O51,Dades_PA!$B$44:$Y$44,0))))*I51),IF(N51="Descomposició",((INDEX(Dades_PA!$B$45:$Y$71,(MATCH('2.2 Emissions restes tallada'!F51,Espècies,0)),(MATCH('2.2 Emissions restes tallada'!O51,Dades_PA!$B$44:$Y$44,0))))*(Dades_PA!$B$39/100)*I51),IF(N51="Producte",0,"")))</f>
        <v/>
      </c>
      <c r="U51" s="109" t="str">
        <f>IF(P51="Crema",((INDEX(Dades_PA!$B$45:$Y$71,(MATCH('2.2 Emissions restes tallada'!F51,Espècies,0)),(MATCH('2.2 Emissions restes tallada'!Q51,Dades_PA!$B$44:$Y$44,0))))*I51),IF(P51="Descomposició",((INDEX(Dades_PA!$B$45:$Y$71,(MATCH('2.2 Emissions restes tallada'!F51,Espècies,0)),(MATCH('2.2 Emissions restes tallada'!Q51,Dades_PA!$B$44:$Y$44,0))))*(Dades_PA!$B$39/100)*I51),IF(P51="Producte",0,"")))</f>
        <v/>
      </c>
      <c r="V51" s="130" t="str">
        <f t="shared" si="7"/>
        <v/>
      </c>
    </row>
    <row r="52" spans="5:22" ht="15" customHeight="1">
      <c r="E52" s="339"/>
      <c r="F52" s="109" t="str">
        <f>IF('2.1 Absorcions arbres'!E45=0,"",'2.1 Absorcions arbres'!E45)</f>
        <v/>
      </c>
      <c r="G52" s="195" t="str">
        <f>IFERROR(VLOOKUP(F52,Dades_PA!$A$6:$H$32,8,FALSE),"")</f>
        <v/>
      </c>
      <c r="H52" s="107" t="str">
        <f t="shared" si="10"/>
        <v/>
      </c>
      <c r="I52" s="108"/>
      <c r="J52" s="195" t="str">
        <f t="shared" si="3"/>
        <v/>
      </c>
      <c r="K52" s="195" t="str">
        <f t="shared" si="4"/>
        <v>BST-</v>
      </c>
      <c r="L52" s="116"/>
      <c r="M52" s="227" t="str">
        <f t="shared" si="0"/>
        <v>Bb&lt;2iBf-</v>
      </c>
      <c r="N52" s="116"/>
      <c r="O52" s="115" t="str">
        <f t="shared" si="1"/>
        <v>Bb&gt;2-</v>
      </c>
      <c r="P52" s="116"/>
      <c r="Q52" s="109" t="str">
        <f t="shared" si="5"/>
        <v>Bt-</v>
      </c>
      <c r="R52" s="109" t="str">
        <f>IF(J52="Vives",0,IF(J52="Mortes",((INDEX(Dades_PA!$B$45:$Y$71,(MATCH('2.2 Emissions restes tallada'!F52,Espècies,0)),(MATCH('2.2 Emissions restes tallada'!K52,Dades_PA!$B$44:$Y$44,0))))*(Dades_PA!$B$39/100)*I52),""))</f>
        <v/>
      </c>
      <c r="S52" s="109" t="str">
        <f>IF(L52="Crema",((INDEX(Dades_PA!$B$45:$Y$71,(MATCH('2.2 Emissions restes tallada'!F52,Espècies,0)),(MATCH('2.2 Emissions restes tallada'!M52,Dades_PA!$B$44:$Y$44,0))))*I52),IF(L52="Descomposició",((INDEX(Dades_PA!$B$45:$Y$71,(MATCH('2.2 Emissions restes tallada'!F52,Espècies,0)),(MATCH('2.2 Emissions restes tallada'!M52,Dades_PA!$B$44:$Y$44,0))))*(Dades_PA!$B$39/100)*I52),IF(L52="Producte",0,"")))</f>
        <v/>
      </c>
      <c r="T52" s="109" t="str">
        <f>IF(N52="Crema",((INDEX(Dades_PA!$B$45:$Y$71,(MATCH('2.2 Emissions restes tallada'!F52,Espècies,0)),(MATCH('2.2 Emissions restes tallada'!O52,Dades_PA!$B$44:$Y$44,0))))*I52),IF(N52="Descomposició",((INDEX(Dades_PA!$B$45:$Y$71,(MATCH('2.2 Emissions restes tallada'!F52,Espècies,0)),(MATCH('2.2 Emissions restes tallada'!O52,Dades_PA!$B$44:$Y$44,0))))*(Dades_PA!$B$39/100)*I52),IF(N52="Producte",0,"")))</f>
        <v/>
      </c>
      <c r="U52" s="109" t="str">
        <f>IF(P52="Crema",((INDEX(Dades_PA!$B$45:$Y$71,(MATCH('2.2 Emissions restes tallada'!F52,Espècies,0)),(MATCH('2.2 Emissions restes tallada'!Q52,Dades_PA!$B$44:$Y$44,0))))*I52),IF(P52="Descomposició",((INDEX(Dades_PA!$B$45:$Y$71,(MATCH('2.2 Emissions restes tallada'!F52,Espècies,0)),(MATCH('2.2 Emissions restes tallada'!Q52,Dades_PA!$B$44:$Y$44,0))))*(Dades_PA!$B$39/100)*I52),IF(P52="Producte",0,"")))</f>
        <v/>
      </c>
      <c r="V52" s="130" t="str">
        <f t="shared" si="7"/>
        <v/>
      </c>
    </row>
    <row r="53" spans="5:22" ht="16.5" customHeight="1" thickBot="1">
      <c r="E53" s="340"/>
      <c r="F53" s="113" t="str">
        <f>IF('2.1 Absorcions arbres'!E46=0,"",'2.1 Absorcions arbres'!E46)</f>
        <v/>
      </c>
      <c r="G53" s="196" t="str">
        <f>IFERROR(VLOOKUP(F53,Dades_PA!$A$6:$H$32,8,FALSE),"")</f>
        <v/>
      </c>
      <c r="H53" s="111" t="str">
        <f t="shared" si="10"/>
        <v/>
      </c>
      <c r="I53" s="112"/>
      <c r="J53" s="196" t="str">
        <f t="shared" si="3"/>
        <v/>
      </c>
      <c r="K53" s="196" t="str">
        <f t="shared" si="4"/>
        <v>BST-</v>
      </c>
      <c r="L53" s="118"/>
      <c r="M53" s="240" t="str">
        <f t="shared" si="0"/>
        <v>Bb&lt;2iBf-</v>
      </c>
      <c r="N53" s="118"/>
      <c r="O53" s="117" t="str">
        <f t="shared" si="1"/>
        <v>Bb&gt;2-</v>
      </c>
      <c r="P53" s="118"/>
      <c r="Q53" s="113" t="str">
        <f t="shared" si="5"/>
        <v>Bt-</v>
      </c>
      <c r="R53" s="113" t="str">
        <f>IF(J53="Vives",0,IF(J53="Mortes",((INDEX(Dades_PA!$B$45:$Y$71,(MATCH('2.2 Emissions restes tallada'!F53,Espècies,0)),(MATCH('2.2 Emissions restes tallada'!K53,Dades_PA!$B$44:$Y$44,0))))*(Dades_PA!$B$39/100)*I53),""))</f>
        <v/>
      </c>
      <c r="S53" s="113" t="str">
        <f>IF(L53="Crema",((INDEX(Dades_PA!$B$45:$Y$71,(MATCH('2.2 Emissions restes tallada'!F53,Espècies,0)),(MATCH('2.2 Emissions restes tallada'!M53,Dades_PA!$B$44:$Y$44,0))))*I53),IF(L53="Descomposició",((INDEX(Dades_PA!$B$45:$Y$71,(MATCH('2.2 Emissions restes tallada'!F53,Espècies,0)),(MATCH('2.2 Emissions restes tallada'!M53,Dades_PA!$B$44:$Y$44,0))))*(Dades_PA!$B$39/100)*I53),IF(L53="Producte",0,"")))</f>
        <v/>
      </c>
      <c r="T53" s="113" t="str">
        <f>IF(N53="Crema",((INDEX(Dades_PA!$B$45:$Y$71,(MATCH('2.2 Emissions restes tallada'!F53,Espècies,0)),(MATCH('2.2 Emissions restes tallada'!O53,Dades_PA!$B$44:$Y$44,0))))*I53),IF(N53="Descomposició",((INDEX(Dades_PA!$B$45:$Y$71,(MATCH('2.2 Emissions restes tallada'!F53,Espècies,0)),(MATCH('2.2 Emissions restes tallada'!O53,Dades_PA!$B$44:$Y$44,0))))*(Dades_PA!$B$39/100)*I53),IF(N53="Producte",0,"")))</f>
        <v/>
      </c>
      <c r="U53" s="113" t="str">
        <f>IF(P53="Crema",((INDEX(Dades_PA!$B$45:$Y$71,(MATCH('2.2 Emissions restes tallada'!F53,Espècies,0)),(MATCH('2.2 Emissions restes tallada'!Q53,Dades_PA!$B$44:$Y$44,0))))*I53),IF(P53="Descomposició",((INDEX(Dades_PA!$B$45:$Y$71,(MATCH('2.2 Emissions restes tallada'!F53,Espècies,0)),(MATCH('2.2 Emissions restes tallada'!Q53,Dades_PA!$B$44:$Y$44,0))))*(Dades_PA!$B$39/100)*I53),IF(P53="Producte",0,"")))</f>
        <v/>
      </c>
      <c r="V53" s="131" t="str">
        <f t="shared" si="7"/>
        <v/>
      </c>
    </row>
    <row r="54" spans="5:22" ht="16.5" customHeight="1">
      <c r="E54" s="338" t="str">
        <f>IF(('1. Dades generals del projecte'!D34)="","",('1. Dades generals del projecte'!D34))</f>
        <v/>
      </c>
      <c r="F54" s="105" t="str">
        <f>IF('2.1 Absorcions arbres'!E47=0,"",'2.1 Absorcions arbres'!E47)</f>
        <v/>
      </c>
      <c r="G54" s="194" t="str">
        <f>IFERROR(VLOOKUP(F54,Dades_PA!$A$6:$H$32,8,FALSE),"")</f>
        <v/>
      </c>
      <c r="H54" s="103" t="str">
        <f>IF(('2.1 Absorcions arbres'!H47&gt;0),('2.1 Absorcions arbres'!H47),"")</f>
        <v/>
      </c>
      <c r="I54" s="104"/>
      <c r="J54" s="194" t="str">
        <f t="shared" si="3"/>
        <v/>
      </c>
      <c r="K54" s="194" t="str">
        <f t="shared" si="4"/>
        <v>BST-</v>
      </c>
      <c r="L54" s="101"/>
      <c r="M54" s="114" t="str">
        <f t="shared" si="0"/>
        <v>Bb&lt;2iBf-</v>
      </c>
      <c r="N54" s="101"/>
      <c r="O54" s="114" t="str">
        <f t="shared" si="1"/>
        <v>Bb&gt;2-</v>
      </c>
      <c r="P54" s="101"/>
      <c r="Q54" s="105" t="str">
        <f t="shared" si="5"/>
        <v>Bt-</v>
      </c>
      <c r="R54" s="105" t="str">
        <f>IF(J54="Vives",0,IF(J54="Mortes",((INDEX(Dades_PA!$B$45:$Y$71,(MATCH('2.2 Emissions restes tallada'!F54,Espècies,0)),(MATCH('2.2 Emissions restes tallada'!K54,Dades_PA!$B$44:$Y$44,0))))*(Dades_PA!$B$39/100)*I54),""))</f>
        <v/>
      </c>
      <c r="S54" s="105" t="str">
        <f>IF(L54="Crema",((INDEX(Dades_PA!$B$45:$Y$71,(MATCH('2.2 Emissions restes tallada'!F54,Espècies,0)),(MATCH('2.2 Emissions restes tallada'!M54,Dades_PA!$B$44:$Y$44,0))))*I54),IF(L54="Descomposició",((INDEX(Dades_PA!$B$45:$Y$71,(MATCH('2.2 Emissions restes tallada'!F54,Espècies,0)),(MATCH('2.2 Emissions restes tallada'!M54,Dades_PA!$B$44:$Y$44,0))))*(Dades_PA!$B$39/100)*I54),IF(L54="Producte",0,"")))</f>
        <v/>
      </c>
      <c r="T54" s="105" t="str">
        <f>IF(N54="Crema",((INDEX(Dades_PA!$B$45:$Y$71,(MATCH('2.2 Emissions restes tallada'!F54,Espècies,0)),(MATCH('2.2 Emissions restes tallada'!O54,Dades_PA!$B$44:$Y$44,0))))*I54),IF(N54="Descomposició",((INDEX(Dades_PA!$B$45:$Y$71,(MATCH('2.2 Emissions restes tallada'!F54,Espècies,0)),(MATCH('2.2 Emissions restes tallada'!O54,Dades_PA!$B$44:$Y$44,0))))*(Dades_PA!$B$39/100)*I54),IF(N54="Producte",0,"")))</f>
        <v/>
      </c>
      <c r="U54" s="105" t="str">
        <f>IF(P54="Crema",((INDEX(Dades_PA!$B$45:$Y$71,(MATCH('2.2 Emissions restes tallada'!F54,Espècies,0)),(MATCH('2.2 Emissions restes tallada'!Q54,Dades_PA!$B$44:$Y$44,0))))*I54),IF(P54="Descomposició",((INDEX(Dades_PA!$B$45:$Y$71,(MATCH('2.2 Emissions restes tallada'!F54,Espècies,0)),(MATCH('2.2 Emissions restes tallada'!Q54,Dades_PA!$B$44:$Y$44,0))))*(Dades_PA!$B$39/100)*I54),IF(P54="Producte",0,"")))</f>
        <v/>
      </c>
      <c r="V54" s="129" t="str">
        <f t="shared" si="7"/>
        <v/>
      </c>
    </row>
    <row r="55" spans="5:22" ht="15" customHeight="1">
      <c r="E55" s="339"/>
      <c r="F55" s="109" t="str">
        <f>IF('2.1 Absorcions arbres'!E48=0,"",'2.1 Absorcions arbres'!E48)</f>
        <v/>
      </c>
      <c r="G55" s="195" t="str">
        <f>IFERROR(VLOOKUP(F55,Dades_PA!$A$6:$H$32,8,FALSE),"")</f>
        <v/>
      </c>
      <c r="H55" s="107" t="str">
        <f>$H$54</f>
        <v/>
      </c>
      <c r="I55" s="108"/>
      <c r="J55" s="195" t="str">
        <f t="shared" si="3"/>
        <v/>
      </c>
      <c r="K55" s="195" t="str">
        <f t="shared" si="4"/>
        <v>BST-</v>
      </c>
      <c r="L55" s="116"/>
      <c r="M55" s="227" t="str">
        <f t="shared" si="0"/>
        <v>Bb&lt;2iBf-</v>
      </c>
      <c r="N55" s="116"/>
      <c r="O55" s="115" t="str">
        <f t="shared" si="1"/>
        <v>Bb&gt;2-</v>
      </c>
      <c r="P55" s="116"/>
      <c r="Q55" s="109" t="str">
        <f t="shared" si="5"/>
        <v>Bt-</v>
      </c>
      <c r="R55" s="109" t="str">
        <f>IF(J55="Vives",0,IF(J55="Mortes",((INDEX(Dades_PA!$B$45:$Y$71,(MATCH('2.2 Emissions restes tallada'!F55,Espècies,0)),(MATCH('2.2 Emissions restes tallada'!K55,Dades_PA!$B$44:$Y$44,0))))*(Dades_PA!$B$39/100)*I55),""))</f>
        <v/>
      </c>
      <c r="S55" s="109" t="str">
        <f>IF(L55="Crema",((INDEX(Dades_PA!$B$45:$Y$71,(MATCH('2.2 Emissions restes tallada'!F55,Espècies,0)),(MATCH('2.2 Emissions restes tallada'!M55,Dades_PA!$B$44:$Y$44,0))))*I55),IF(L55="Descomposició",((INDEX(Dades_PA!$B$45:$Y$71,(MATCH('2.2 Emissions restes tallada'!F55,Espècies,0)),(MATCH('2.2 Emissions restes tallada'!M55,Dades_PA!$B$44:$Y$44,0))))*(Dades_PA!$B$39/100)*I55),IF(L55="Producte",0,"")))</f>
        <v/>
      </c>
      <c r="T55" s="109" t="str">
        <f>IF(N55="Crema",((INDEX(Dades_PA!$B$45:$Y$71,(MATCH('2.2 Emissions restes tallada'!F55,Espècies,0)),(MATCH('2.2 Emissions restes tallada'!O55,Dades_PA!$B$44:$Y$44,0))))*I55),IF(N55="Descomposició",((INDEX(Dades_PA!$B$45:$Y$71,(MATCH('2.2 Emissions restes tallada'!F55,Espècies,0)),(MATCH('2.2 Emissions restes tallada'!O55,Dades_PA!$B$44:$Y$44,0))))*(Dades_PA!$B$39/100)*I55),IF(N55="Producte",0,"")))</f>
        <v/>
      </c>
      <c r="U55" s="109" t="str">
        <f>IF(P55="Crema",((INDEX(Dades_PA!$B$45:$Y$71,(MATCH('2.2 Emissions restes tallada'!F55,Espècies,0)),(MATCH('2.2 Emissions restes tallada'!Q55,Dades_PA!$B$44:$Y$44,0))))*I55),IF(P55="Descomposició",((INDEX(Dades_PA!$B$45:$Y$71,(MATCH('2.2 Emissions restes tallada'!F55,Espècies,0)),(MATCH('2.2 Emissions restes tallada'!Q55,Dades_PA!$B$44:$Y$44,0))))*(Dades_PA!$B$39/100)*I55),IF(P55="Producte",0,"")))</f>
        <v/>
      </c>
      <c r="V55" s="130" t="str">
        <f t="shared" si="7"/>
        <v/>
      </c>
    </row>
    <row r="56" spans="5:22" ht="16.5" customHeight="1">
      <c r="E56" s="339"/>
      <c r="F56" s="109" t="str">
        <f>IF('2.1 Absorcions arbres'!E49=0,"",'2.1 Absorcions arbres'!E49)</f>
        <v/>
      </c>
      <c r="G56" s="195" t="str">
        <f>IFERROR(VLOOKUP(F56,Dades_PA!$A$6:$H$32,8,FALSE),"")</f>
        <v/>
      </c>
      <c r="H56" s="107" t="str">
        <f t="shared" ref="H56:H63" si="11">$H$54</f>
        <v/>
      </c>
      <c r="I56" s="108"/>
      <c r="J56" s="195" t="str">
        <f t="shared" si="3"/>
        <v/>
      </c>
      <c r="K56" s="195" t="str">
        <f t="shared" si="4"/>
        <v>BST-</v>
      </c>
      <c r="L56" s="116"/>
      <c r="M56" s="227" t="str">
        <f t="shared" si="0"/>
        <v>Bb&lt;2iBf-</v>
      </c>
      <c r="N56" s="116"/>
      <c r="O56" s="115" t="str">
        <f t="shared" si="1"/>
        <v>Bb&gt;2-</v>
      </c>
      <c r="P56" s="116"/>
      <c r="Q56" s="109" t="str">
        <f t="shared" si="5"/>
        <v>Bt-</v>
      </c>
      <c r="R56" s="109" t="str">
        <f>IF(J56="Vives",0,IF(J56="Mortes",((INDEX(Dades_PA!$B$45:$Y$71,(MATCH('2.2 Emissions restes tallada'!F56,Espècies,0)),(MATCH('2.2 Emissions restes tallada'!K56,Dades_PA!$B$44:$Y$44,0))))*(Dades_PA!$B$39/100)*I56),""))</f>
        <v/>
      </c>
      <c r="S56" s="109" t="str">
        <f>IF(L56="Crema",((INDEX(Dades_PA!$B$45:$Y$71,(MATCH('2.2 Emissions restes tallada'!F56,Espècies,0)),(MATCH('2.2 Emissions restes tallada'!M56,Dades_PA!$B$44:$Y$44,0))))*I56),IF(L56="Descomposició",((INDEX(Dades_PA!$B$45:$Y$71,(MATCH('2.2 Emissions restes tallada'!F56,Espècies,0)),(MATCH('2.2 Emissions restes tallada'!M56,Dades_PA!$B$44:$Y$44,0))))*(Dades_PA!$B$39/100)*I56),IF(L56="Producte",0,"")))</f>
        <v/>
      </c>
      <c r="T56" s="109" t="str">
        <f>IF(N56="Crema",((INDEX(Dades_PA!$B$45:$Y$71,(MATCH('2.2 Emissions restes tallada'!F56,Espècies,0)),(MATCH('2.2 Emissions restes tallada'!O56,Dades_PA!$B$44:$Y$44,0))))*I56),IF(N56="Descomposició",((INDEX(Dades_PA!$B$45:$Y$71,(MATCH('2.2 Emissions restes tallada'!F56,Espècies,0)),(MATCH('2.2 Emissions restes tallada'!O56,Dades_PA!$B$44:$Y$44,0))))*(Dades_PA!$B$39/100)*I56),IF(N56="Producte",0,"")))</f>
        <v/>
      </c>
      <c r="U56" s="109" t="str">
        <f>IF(P56="Crema",((INDEX(Dades_PA!$B$45:$Y$71,(MATCH('2.2 Emissions restes tallada'!F56,Espècies,0)),(MATCH('2.2 Emissions restes tallada'!Q56,Dades_PA!$B$44:$Y$44,0))))*I56),IF(P56="Descomposició",((INDEX(Dades_PA!$B$45:$Y$71,(MATCH('2.2 Emissions restes tallada'!F56,Espècies,0)),(MATCH('2.2 Emissions restes tallada'!Q56,Dades_PA!$B$44:$Y$44,0))))*(Dades_PA!$B$39/100)*I56),IF(P56="Producte",0,"")))</f>
        <v/>
      </c>
      <c r="V56" s="130" t="str">
        <f t="shared" si="7"/>
        <v/>
      </c>
    </row>
    <row r="57" spans="5:22" ht="16.5" customHeight="1">
      <c r="E57" s="339"/>
      <c r="F57" s="109" t="str">
        <f>IF('2.1 Absorcions arbres'!E50=0,"",'2.1 Absorcions arbres'!E50)</f>
        <v/>
      </c>
      <c r="G57" s="195" t="str">
        <f>IFERROR(VLOOKUP(F57,Dades_PA!$A$6:$H$32,8,FALSE),"")</f>
        <v/>
      </c>
      <c r="H57" s="107" t="str">
        <f t="shared" si="11"/>
        <v/>
      </c>
      <c r="I57" s="108"/>
      <c r="J57" s="195" t="str">
        <f t="shared" si="3"/>
        <v/>
      </c>
      <c r="K57" s="195" t="str">
        <f t="shared" si="4"/>
        <v>BST-</v>
      </c>
      <c r="L57" s="116"/>
      <c r="M57" s="227" t="str">
        <f t="shared" si="0"/>
        <v>Bb&lt;2iBf-</v>
      </c>
      <c r="N57" s="116"/>
      <c r="O57" s="115" t="str">
        <f t="shared" si="1"/>
        <v>Bb&gt;2-</v>
      </c>
      <c r="P57" s="116"/>
      <c r="Q57" s="109" t="str">
        <f t="shared" si="5"/>
        <v>Bt-</v>
      </c>
      <c r="R57" s="109" t="str">
        <f>IF(J57="Vives",0,IF(J57="Mortes",((INDEX(Dades_PA!$B$45:$Y$71,(MATCH('2.2 Emissions restes tallada'!F57,Espècies,0)),(MATCH('2.2 Emissions restes tallada'!K57,Dades_PA!$B$44:$Y$44,0))))*(Dades_PA!$B$39/100)*I57),""))</f>
        <v/>
      </c>
      <c r="S57" s="109" t="str">
        <f>IF(L57="Crema",((INDEX(Dades_PA!$B$45:$Y$71,(MATCH('2.2 Emissions restes tallada'!F57,Espècies,0)),(MATCH('2.2 Emissions restes tallada'!M57,Dades_PA!$B$44:$Y$44,0))))*I57),IF(L57="Descomposició",((INDEX(Dades_PA!$B$45:$Y$71,(MATCH('2.2 Emissions restes tallada'!F57,Espècies,0)),(MATCH('2.2 Emissions restes tallada'!M57,Dades_PA!$B$44:$Y$44,0))))*(Dades_PA!$B$39/100)*I57),IF(L57="Producte",0,"")))</f>
        <v/>
      </c>
      <c r="T57" s="109" t="str">
        <f>IF(N57="Crema",((INDEX(Dades_PA!$B$45:$Y$71,(MATCH('2.2 Emissions restes tallada'!F57,Espècies,0)),(MATCH('2.2 Emissions restes tallada'!O57,Dades_PA!$B$44:$Y$44,0))))*I57),IF(N57="Descomposició",((INDEX(Dades_PA!$B$45:$Y$71,(MATCH('2.2 Emissions restes tallada'!F57,Espècies,0)),(MATCH('2.2 Emissions restes tallada'!O57,Dades_PA!$B$44:$Y$44,0))))*(Dades_PA!$B$39/100)*I57),IF(N57="Producte",0,"")))</f>
        <v/>
      </c>
      <c r="U57" s="109" t="str">
        <f>IF(P57="Crema",((INDEX(Dades_PA!$B$45:$Y$71,(MATCH('2.2 Emissions restes tallada'!F57,Espècies,0)),(MATCH('2.2 Emissions restes tallada'!Q57,Dades_PA!$B$44:$Y$44,0))))*I57),IF(P57="Descomposició",((INDEX(Dades_PA!$B$45:$Y$71,(MATCH('2.2 Emissions restes tallada'!F57,Espècies,0)),(MATCH('2.2 Emissions restes tallada'!Q57,Dades_PA!$B$44:$Y$44,0))))*(Dades_PA!$B$39/100)*I57),IF(P57="Producte",0,"")))</f>
        <v/>
      </c>
      <c r="V57" s="130" t="str">
        <f t="shared" si="7"/>
        <v/>
      </c>
    </row>
    <row r="58" spans="5:22" ht="16.5" customHeight="1">
      <c r="E58" s="339"/>
      <c r="F58" s="109" t="str">
        <f>IF('2.1 Absorcions arbres'!E51=0,"",'2.1 Absorcions arbres'!E51)</f>
        <v/>
      </c>
      <c r="G58" s="195" t="str">
        <f>IFERROR(VLOOKUP(F58,Dades_PA!$A$6:$H$32,8,FALSE),"")</f>
        <v/>
      </c>
      <c r="H58" s="107" t="str">
        <f t="shared" si="11"/>
        <v/>
      </c>
      <c r="I58" s="108"/>
      <c r="J58" s="195" t="str">
        <f t="shared" si="3"/>
        <v/>
      </c>
      <c r="K58" s="195" t="str">
        <f t="shared" si="4"/>
        <v>BST-</v>
      </c>
      <c r="L58" s="116"/>
      <c r="M58" s="227" t="str">
        <f t="shared" si="0"/>
        <v>Bb&lt;2iBf-</v>
      </c>
      <c r="N58" s="116"/>
      <c r="O58" s="115" t="str">
        <f t="shared" si="1"/>
        <v>Bb&gt;2-</v>
      </c>
      <c r="P58" s="116"/>
      <c r="Q58" s="109" t="str">
        <f t="shared" si="5"/>
        <v>Bt-</v>
      </c>
      <c r="R58" s="109" t="str">
        <f>IF(J58="Vives",0,IF(J58="Mortes",((INDEX(Dades_PA!$B$45:$Y$71,(MATCH('2.2 Emissions restes tallada'!F58,Espècies,0)),(MATCH('2.2 Emissions restes tallada'!K58,Dades_PA!$B$44:$Y$44,0))))*(Dades_PA!$B$39/100)*I58),""))</f>
        <v/>
      </c>
      <c r="S58" s="109" t="str">
        <f>IF(L58="Crema",((INDEX(Dades_PA!$B$45:$Y$71,(MATCH('2.2 Emissions restes tallada'!F58,Espècies,0)),(MATCH('2.2 Emissions restes tallada'!M58,Dades_PA!$B$44:$Y$44,0))))*I58),IF(L58="Descomposició",((INDEX(Dades_PA!$B$45:$Y$71,(MATCH('2.2 Emissions restes tallada'!F58,Espècies,0)),(MATCH('2.2 Emissions restes tallada'!M58,Dades_PA!$B$44:$Y$44,0))))*(Dades_PA!$B$39/100)*I58),IF(L58="Producte",0,"")))</f>
        <v/>
      </c>
      <c r="T58" s="109" t="str">
        <f>IF(N58="Crema",((INDEX(Dades_PA!$B$45:$Y$71,(MATCH('2.2 Emissions restes tallada'!F58,Espècies,0)),(MATCH('2.2 Emissions restes tallada'!O58,Dades_PA!$B$44:$Y$44,0))))*I58),IF(N58="Descomposició",((INDEX(Dades_PA!$B$45:$Y$71,(MATCH('2.2 Emissions restes tallada'!F58,Espècies,0)),(MATCH('2.2 Emissions restes tallada'!O58,Dades_PA!$B$44:$Y$44,0))))*(Dades_PA!$B$39/100)*I58),IF(N58="Producte",0,"")))</f>
        <v/>
      </c>
      <c r="U58" s="109" t="str">
        <f>IF(P58="Crema",((INDEX(Dades_PA!$B$45:$Y$71,(MATCH('2.2 Emissions restes tallada'!F58,Espècies,0)),(MATCH('2.2 Emissions restes tallada'!Q58,Dades_PA!$B$44:$Y$44,0))))*I58),IF(P58="Descomposició",((INDEX(Dades_PA!$B$45:$Y$71,(MATCH('2.2 Emissions restes tallada'!F58,Espècies,0)),(MATCH('2.2 Emissions restes tallada'!Q58,Dades_PA!$B$44:$Y$44,0))))*(Dades_PA!$B$39/100)*I58),IF(P58="Producte",0,"")))</f>
        <v/>
      </c>
      <c r="V58" s="130" t="str">
        <f t="shared" si="7"/>
        <v/>
      </c>
    </row>
    <row r="59" spans="5:22" ht="16.5" customHeight="1">
      <c r="E59" s="339"/>
      <c r="F59" s="109" t="str">
        <f>IF('2.1 Absorcions arbres'!E52=0,"",'2.1 Absorcions arbres'!E52)</f>
        <v/>
      </c>
      <c r="G59" s="195" t="str">
        <f>IFERROR(VLOOKUP(F59,Dades_PA!$A$6:$H$32,8,FALSE),"")</f>
        <v/>
      </c>
      <c r="H59" s="107" t="str">
        <f t="shared" si="11"/>
        <v/>
      </c>
      <c r="I59" s="108"/>
      <c r="J59" s="195" t="str">
        <f t="shared" si="3"/>
        <v/>
      </c>
      <c r="K59" s="195" t="str">
        <f t="shared" si="4"/>
        <v>BST-</v>
      </c>
      <c r="L59" s="116"/>
      <c r="M59" s="227" t="str">
        <f t="shared" si="0"/>
        <v>Bb&lt;2iBf-</v>
      </c>
      <c r="N59" s="116"/>
      <c r="O59" s="115" t="str">
        <f t="shared" si="1"/>
        <v>Bb&gt;2-</v>
      </c>
      <c r="P59" s="116"/>
      <c r="Q59" s="109" t="str">
        <f t="shared" si="5"/>
        <v>Bt-</v>
      </c>
      <c r="R59" s="109" t="str">
        <f>IF(J59="Vives",0,IF(J59="Mortes",((INDEX(Dades_PA!$B$45:$Y$71,(MATCH('2.2 Emissions restes tallada'!F59,Espècies,0)),(MATCH('2.2 Emissions restes tallada'!K59,Dades_PA!$B$44:$Y$44,0))))*(Dades_PA!$B$39/100)*I59),""))</f>
        <v/>
      </c>
      <c r="S59" s="109" t="str">
        <f>IF(L59="Crema",((INDEX(Dades_PA!$B$45:$Y$71,(MATCH('2.2 Emissions restes tallada'!F59,Espècies,0)),(MATCH('2.2 Emissions restes tallada'!M59,Dades_PA!$B$44:$Y$44,0))))*I59),IF(L59="Descomposició",((INDEX(Dades_PA!$B$45:$Y$71,(MATCH('2.2 Emissions restes tallada'!F59,Espècies,0)),(MATCH('2.2 Emissions restes tallada'!M59,Dades_PA!$B$44:$Y$44,0))))*(Dades_PA!$B$39/100)*I59),IF(L59="Producte",0,"")))</f>
        <v/>
      </c>
      <c r="T59" s="109" t="str">
        <f>IF(N59="Crema",((INDEX(Dades_PA!$B$45:$Y$71,(MATCH('2.2 Emissions restes tallada'!F59,Espècies,0)),(MATCH('2.2 Emissions restes tallada'!O59,Dades_PA!$B$44:$Y$44,0))))*I59),IF(N59="Descomposició",((INDEX(Dades_PA!$B$45:$Y$71,(MATCH('2.2 Emissions restes tallada'!F59,Espècies,0)),(MATCH('2.2 Emissions restes tallada'!O59,Dades_PA!$B$44:$Y$44,0))))*(Dades_PA!$B$39/100)*I59),IF(N59="Producte",0,"")))</f>
        <v/>
      </c>
      <c r="U59" s="109" t="str">
        <f>IF(P59="Crema",((INDEX(Dades_PA!$B$45:$Y$71,(MATCH('2.2 Emissions restes tallada'!F59,Espècies,0)),(MATCH('2.2 Emissions restes tallada'!Q59,Dades_PA!$B$44:$Y$44,0))))*I59),IF(P59="Descomposició",((INDEX(Dades_PA!$B$45:$Y$71,(MATCH('2.2 Emissions restes tallada'!F59,Espècies,0)),(MATCH('2.2 Emissions restes tallada'!Q59,Dades_PA!$B$44:$Y$44,0))))*(Dades_PA!$B$39/100)*I59),IF(P59="Producte",0,"")))</f>
        <v/>
      </c>
      <c r="V59" s="130" t="str">
        <f t="shared" si="7"/>
        <v/>
      </c>
    </row>
    <row r="60" spans="5:22" ht="16.5" customHeight="1">
      <c r="E60" s="339"/>
      <c r="F60" s="109" t="str">
        <f>IF('2.1 Absorcions arbres'!E53=0,"",'2.1 Absorcions arbres'!E53)</f>
        <v/>
      </c>
      <c r="G60" s="195" t="str">
        <f>IFERROR(VLOOKUP(F60,Dades_PA!$A$6:$H$32,8,FALSE),"")</f>
        <v/>
      </c>
      <c r="H60" s="107" t="str">
        <f t="shared" si="11"/>
        <v/>
      </c>
      <c r="I60" s="108"/>
      <c r="J60" s="195" t="str">
        <f t="shared" si="3"/>
        <v/>
      </c>
      <c r="K60" s="195" t="str">
        <f t="shared" si="4"/>
        <v>BST-</v>
      </c>
      <c r="L60" s="116"/>
      <c r="M60" s="115" t="str">
        <f t="shared" ref="M60:M63" si="12">CONCATENATE("Bb&lt;2iBf-",H60)</f>
        <v>Bb&lt;2iBf-</v>
      </c>
      <c r="N60" s="116"/>
      <c r="O60" s="115" t="str">
        <f t="shared" ref="O60:O63" si="13">CONCATENATE("Bb&gt;2-",H60)</f>
        <v>Bb&gt;2-</v>
      </c>
      <c r="P60" s="116"/>
      <c r="Q60" s="109" t="str">
        <f t="shared" si="5"/>
        <v>Bt-</v>
      </c>
      <c r="R60" s="109" t="str">
        <f>IF(J60="Vives",0,IF(J60="Mortes",((INDEX(Dades_PA!$B$45:$Y$71,(MATCH('2.2 Emissions restes tallada'!F60,Espècies,0)),(MATCH('2.2 Emissions restes tallada'!K60,Dades_PA!$B$44:$Y$44,0))))*(Dades_PA!$B$39/100)*I60),""))</f>
        <v/>
      </c>
      <c r="S60" s="109" t="str">
        <f>IF(L60="Crema",((INDEX(Dades_PA!$B$45:$Y$71,(MATCH('2.2 Emissions restes tallada'!F60,Espècies,0)),(MATCH('2.2 Emissions restes tallada'!M60,Dades_PA!$B$44:$Y$44,0))))*I60),IF(L60="Descomposició",((INDEX(Dades_PA!$B$45:$Y$71,(MATCH('2.2 Emissions restes tallada'!F60,Espècies,0)),(MATCH('2.2 Emissions restes tallada'!M60,Dades_PA!$B$44:$Y$44,0))))*(Dades_PA!$B$39/100)*I60),IF(L60="Producte",0,"")))</f>
        <v/>
      </c>
      <c r="T60" s="109" t="str">
        <f>IF(N60="Crema",((INDEX(Dades_PA!$B$45:$Y$71,(MATCH('2.2 Emissions restes tallada'!F60,Espècies,0)),(MATCH('2.2 Emissions restes tallada'!O60,Dades_PA!$B$44:$Y$44,0))))*I60),IF(N60="Descomposició",((INDEX(Dades_PA!$B$45:$Y$71,(MATCH('2.2 Emissions restes tallada'!F60,Espècies,0)),(MATCH('2.2 Emissions restes tallada'!O60,Dades_PA!$B$44:$Y$44,0))))*(Dades_PA!$B$39/100)*I60),IF(N60="Producte",0,"")))</f>
        <v/>
      </c>
      <c r="U60" s="109" t="str">
        <f>IF(P60="Crema",((INDEX(Dades_PA!$B$45:$Y$71,(MATCH('2.2 Emissions restes tallada'!F60,Espècies,0)),(MATCH('2.2 Emissions restes tallada'!Q60,Dades_PA!$B$44:$Y$44,0))))*I60),IF(P60="Descomposició",((INDEX(Dades_PA!$B$45:$Y$71,(MATCH('2.2 Emissions restes tallada'!F60,Espècies,0)),(MATCH('2.2 Emissions restes tallada'!Q60,Dades_PA!$B$44:$Y$44,0))))*(Dades_PA!$B$39/100)*I60),IF(P60="Producte",0,"")))</f>
        <v/>
      </c>
      <c r="V60" s="130" t="str">
        <f t="shared" si="7"/>
        <v/>
      </c>
    </row>
    <row r="61" spans="5:22" ht="16.5" customHeight="1">
      <c r="E61" s="339"/>
      <c r="F61" s="109" t="str">
        <f>IF('2.1 Absorcions arbres'!E54=0,"",'2.1 Absorcions arbres'!E54)</f>
        <v/>
      </c>
      <c r="G61" s="195" t="str">
        <f>IFERROR(VLOOKUP(F61,Dades_PA!$A$6:$H$32,8,FALSE),"")</f>
        <v/>
      </c>
      <c r="H61" s="107" t="str">
        <f t="shared" si="11"/>
        <v/>
      </c>
      <c r="I61" s="108"/>
      <c r="J61" s="195" t="str">
        <f t="shared" si="3"/>
        <v/>
      </c>
      <c r="K61" s="195" t="str">
        <f t="shared" si="4"/>
        <v>BST-</v>
      </c>
      <c r="L61" s="116"/>
      <c r="M61" s="115" t="str">
        <f t="shared" si="12"/>
        <v>Bb&lt;2iBf-</v>
      </c>
      <c r="N61" s="116"/>
      <c r="O61" s="115" t="str">
        <f t="shared" si="13"/>
        <v>Bb&gt;2-</v>
      </c>
      <c r="P61" s="116"/>
      <c r="Q61" s="109" t="str">
        <f t="shared" si="5"/>
        <v>Bt-</v>
      </c>
      <c r="R61" s="109" t="str">
        <f>IF(J61="Vives",0,IF(J61="Mortes",((INDEX(Dades_PA!$B$45:$Y$71,(MATCH('2.2 Emissions restes tallada'!F61,Espècies,0)),(MATCH('2.2 Emissions restes tallada'!K61,Dades_PA!$B$44:$Y$44,0))))*(Dades_PA!$B$39/100)*I61),""))</f>
        <v/>
      </c>
      <c r="S61" s="109" t="str">
        <f>IF(L61="Crema",((INDEX(Dades_PA!$B$45:$Y$71,(MATCH('2.2 Emissions restes tallada'!F61,Espècies,0)),(MATCH('2.2 Emissions restes tallada'!M61,Dades_PA!$B$44:$Y$44,0))))*I61),IF(L61="Descomposició",((INDEX(Dades_PA!$B$45:$Y$71,(MATCH('2.2 Emissions restes tallada'!F61,Espècies,0)),(MATCH('2.2 Emissions restes tallada'!M61,Dades_PA!$B$44:$Y$44,0))))*(Dades_PA!$B$39/100)*I61),IF(L61="Producte",0,"")))</f>
        <v/>
      </c>
      <c r="T61" s="109" t="str">
        <f>IF(N61="Crema",((INDEX(Dades_PA!$B$45:$Y$71,(MATCH('2.2 Emissions restes tallada'!F61,Espècies,0)),(MATCH('2.2 Emissions restes tallada'!O61,Dades_PA!$B$44:$Y$44,0))))*I61),IF(N61="Descomposició",((INDEX(Dades_PA!$B$45:$Y$71,(MATCH('2.2 Emissions restes tallada'!F61,Espècies,0)),(MATCH('2.2 Emissions restes tallada'!O61,Dades_PA!$B$44:$Y$44,0))))*(Dades_PA!$B$39/100)*I61),IF(N61="Producte",0,"")))</f>
        <v/>
      </c>
      <c r="U61" s="109" t="str">
        <f>IF(P61="Crema",((INDEX(Dades_PA!$B$45:$Y$71,(MATCH('2.2 Emissions restes tallada'!F61,Espècies,0)),(MATCH('2.2 Emissions restes tallada'!Q61,Dades_PA!$B$44:$Y$44,0))))*I61),IF(P61="Descomposició",((INDEX(Dades_PA!$B$45:$Y$71,(MATCH('2.2 Emissions restes tallada'!F61,Espècies,0)),(MATCH('2.2 Emissions restes tallada'!Q61,Dades_PA!$B$44:$Y$44,0))))*(Dades_PA!$B$39/100)*I61),IF(P61="Producte",0,"")))</f>
        <v/>
      </c>
      <c r="V61" s="130" t="str">
        <f t="shared" si="7"/>
        <v/>
      </c>
    </row>
    <row r="62" spans="5:22" ht="16.5" customHeight="1">
      <c r="E62" s="339"/>
      <c r="F62" s="109" t="str">
        <f>IF('2.1 Absorcions arbres'!E55=0,"",'2.1 Absorcions arbres'!E55)</f>
        <v/>
      </c>
      <c r="G62" s="195" t="str">
        <f>IFERROR(VLOOKUP(F62,Dades_PA!$A$6:$H$32,8,FALSE),"")</f>
        <v/>
      </c>
      <c r="H62" s="107" t="str">
        <f t="shared" si="11"/>
        <v/>
      </c>
      <c r="I62" s="108"/>
      <c r="J62" s="195" t="str">
        <f t="shared" si="3"/>
        <v/>
      </c>
      <c r="K62" s="195" t="str">
        <f t="shared" si="4"/>
        <v>BST-</v>
      </c>
      <c r="L62" s="116"/>
      <c r="M62" s="115" t="str">
        <f t="shared" si="12"/>
        <v>Bb&lt;2iBf-</v>
      </c>
      <c r="N62" s="116"/>
      <c r="O62" s="115" t="str">
        <f t="shared" si="13"/>
        <v>Bb&gt;2-</v>
      </c>
      <c r="P62" s="116"/>
      <c r="Q62" s="109" t="str">
        <f t="shared" si="5"/>
        <v>Bt-</v>
      </c>
      <c r="R62" s="109" t="str">
        <f>IF(J62="Vives",0,IF(J62="Mortes",((INDEX(Dades_PA!$B$45:$Y$71,(MATCH('2.2 Emissions restes tallada'!F62,Espècies,0)),(MATCH('2.2 Emissions restes tallada'!K62,Dades_PA!$B$44:$Y$44,0))))*(Dades_PA!$B$39/100)*I62),""))</f>
        <v/>
      </c>
      <c r="S62" s="109" t="str">
        <f>IF(L62="Crema",((INDEX(Dades_PA!$B$45:$Y$71,(MATCH('2.2 Emissions restes tallada'!F62,Espècies,0)),(MATCH('2.2 Emissions restes tallada'!M62,Dades_PA!$B$44:$Y$44,0))))*I62),IF(L62="Descomposició",((INDEX(Dades_PA!$B$45:$Y$71,(MATCH('2.2 Emissions restes tallada'!F62,Espècies,0)),(MATCH('2.2 Emissions restes tallada'!M62,Dades_PA!$B$44:$Y$44,0))))*(Dades_PA!$B$39/100)*I62),IF(L62="Producte",0,"")))</f>
        <v/>
      </c>
      <c r="T62" s="109" t="str">
        <f>IF(N62="Crema",((INDEX(Dades_PA!$B$45:$Y$71,(MATCH('2.2 Emissions restes tallada'!F62,Espècies,0)),(MATCH('2.2 Emissions restes tallada'!O62,Dades_PA!$B$44:$Y$44,0))))*I62),IF(N62="Descomposició",((INDEX(Dades_PA!$B$45:$Y$71,(MATCH('2.2 Emissions restes tallada'!F62,Espècies,0)),(MATCH('2.2 Emissions restes tallada'!O62,Dades_PA!$B$44:$Y$44,0))))*(Dades_PA!$B$39/100)*I62),IF(N62="Producte",0,"")))</f>
        <v/>
      </c>
      <c r="U62" s="109" t="str">
        <f>IF(P62="Crema",((INDEX(Dades_PA!$B$45:$Y$71,(MATCH('2.2 Emissions restes tallada'!F62,Espècies,0)),(MATCH('2.2 Emissions restes tallada'!Q62,Dades_PA!$B$44:$Y$44,0))))*I62),IF(P62="Descomposició",((INDEX(Dades_PA!$B$45:$Y$71,(MATCH('2.2 Emissions restes tallada'!F62,Espècies,0)),(MATCH('2.2 Emissions restes tallada'!Q62,Dades_PA!$B$44:$Y$44,0))))*(Dades_PA!$B$39/100)*I62),IF(P62="Producte",0,"")))</f>
        <v/>
      </c>
      <c r="V62" s="130" t="str">
        <f t="shared" si="7"/>
        <v/>
      </c>
    </row>
    <row r="63" spans="5:22" ht="16.5" customHeight="1" thickBot="1">
      <c r="E63" s="340"/>
      <c r="F63" s="113" t="str">
        <f>IF('2.1 Absorcions arbres'!E56=0,"",'2.1 Absorcions arbres'!E56)</f>
        <v/>
      </c>
      <c r="G63" s="196" t="str">
        <f>IFERROR(VLOOKUP(F63,Dades_PA!$A$6:$H$32,8,FALSE),"")</f>
        <v/>
      </c>
      <c r="H63" s="111" t="str">
        <f t="shared" si="11"/>
        <v/>
      </c>
      <c r="I63" s="112"/>
      <c r="J63" s="196" t="str">
        <f t="shared" si="3"/>
        <v/>
      </c>
      <c r="K63" s="196" t="str">
        <f t="shared" si="4"/>
        <v>BST-</v>
      </c>
      <c r="L63" s="118"/>
      <c r="M63" s="117" t="str">
        <f t="shared" si="12"/>
        <v>Bb&lt;2iBf-</v>
      </c>
      <c r="N63" s="118"/>
      <c r="O63" s="117" t="str">
        <f t="shared" si="13"/>
        <v>Bb&gt;2-</v>
      </c>
      <c r="P63" s="118"/>
      <c r="Q63" s="113" t="str">
        <f t="shared" si="5"/>
        <v>Bt-</v>
      </c>
      <c r="R63" s="113" t="str">
        <f>IF(J63="Vives",0,IF(J63="Mortes",((INDEX(Dades_PA!$B$45:$Y$71,(MATCH('2.2 Emissions restes tallada'!F63,Espècies,0)),(MATCH('2.2 Emissions restes tallada'!K63,Dades_PA!$B$44:$Y$44,0))))*(Dades_PA!$B$39/100)*I63),""))</f>
        <v/>
      </c>
      <c r="S63" s="113" t="str">
        <f>IF(L63="Crema",((INDEX(Dades_PA!$B$45:$Y$71,(MATCH('2.2 Emissions restes tallada'!F63,Espècies,0)),(MATCH('2.2 Emissions restes tallada'!M63,Dades_PA!$B$44:$Y$44,0))))*I63),IF(L63="Descomposició",((INDEX(Dades_PA!$B$45:$Y$71,(MATCH('2.2 Emissions restes tallada'!F63,Espècies,0)),(MATCH('2.2 Emissions restes tallada'!M63,Dades_PA!$B$44:$Y$44,0))))*(Dades_PA!$B$39/100)*I63),IF(L63="Producte",0,"")))</f>
        <v/>
      </c>
      <c r="T63" s="113" t="str">
        <f>IF(N63="Crema",((INDEX(Dades_PA!$B$45:$Y$71,(MATCH('2.2 Emissions restes tallada'!F63,Espècies,0)),(MATCH('2.2 Emissions restes tallada'!O63,Dades_PA!$B$44:$Y$44,0))))*I63),IF(N63="Descomposició",((INDEX(Dades_PA!$B$45:$Y$71,(MATCH('2.2 Emissions restes tallada'!F63,Espècies,0)),(MATCH('2.2 Emissions restes tallada'!O63,Dades_PA!$B$44:$Y$44,0))))*(Dades_PA!$B$39/100)*I63),IF(N63="Producte",0,"")))</f>
        <v/>
      </c>
      <c r="U63" s="113" t="str">
        <f>IF(P63="Crema",((INDEX(Dades_PA!$B$45:$Y$71,(MATCH('2.2 Emissions restes tallada'!F63,Espècies,0)),(MATCH('2.2 Emissions restes tallada'!Q63,Dades_PA!$B$44:$Y$44,0))))*I63),IF(P63="Descomposició",((INDEX(Dades_PA!$B$45:$Y$71,(MATCH('2.2 Emissions restes tallada'!F63,Espècies,0)),(MATCH('2.2 Emissions restes tallada'!Q63,Dades_PA!$B$44:$Y$44,0))))*(Dades_PA!$B$39/100)*I63),IF(P63="Producte",0,"")))</f>
        <v/>
      </c>
      <c r="V63" s="131" t="str">
        <f t="shared" si="7"/>
        <v/>
      </c>
    </row>
    <row r="64" spans="5:22" ht="16.5" customHeight="1" thickBot="1">
      <c r="E64" s="132" t="s">
        <v>15</v>
      </c>
      <c r="F64" s="133" t="s">
        <v>14</v>
      </c>
      <c r="G64" s="133" t="s">
        <v>14</v>
      </c>
      <c r="H64" s="133" t="s">
        <v>14</v>
      </c>
      <c r="I64" s="134" t="str">
        <f>IF(SUM(I14:I63)=0,"",SUM(I14:I63))</f>
        <v/>
      </c>
      <c r="J64" s="133" t="s">
        <v>14</v>
      </c>
      <c r="K64" s="133" t="s">
        <v>14</v>
      </c>
      <c r="L64" s="133" t="s">
        <v>14</v>
      </c>
      <c r="M64" s="133" t="s">
        <v>14</v>
      </c>
      <c r="N64" s="133" t="s">
        <v>14</v>
      </c>
      <c r="O64" s="133" t="s">
        <v>14</v>
      </c>
      <c r="P64" s="133" t="s">
        <v>14</v>
      </c>
      <c r="Q64" s="133" t="s">
        <v>14</v>
      </c>
      <c r="R64" s="135">
        <f>SUM(R14:R63)</f>
        <v>0</v>
      </c>
      <c r="S64" s="135">
        <f t="shared" ref="S64:V64" si="14">SUM(S14:S63)</f>
        <v>0</v>
      </c>
      <c r="T64" s="135">
        <f t="shared" si="14"/>
        <v>0</v>
      </c>
      <c r="U64" s="135">
        <f t="shared" si="14"/>
        <v>0</v>
      </c>
      <c r="V64" s="136">
        <f t="shared" si="14"/>
        <v>0</v>
      </c>
    </row>
    <row r="65" spans="5:22" ht="16.5" customHeight="1"/>
    <row r="66" spans="5:22" ht="16.5" customHeight="1">
      <c r="E66" s="359" t="s">
        <v>213</v>
      </c>
      <c r="F66" s="360"/>
      <c r="G66" s="360"/>
      <c r="H66" s="360"/>
      <c r="I66" s="360"/>
      <c r="J66" s="360"/>
      <c r="K66" s="360"/>
      <c r="L66" s="360"/>
      <c r="M66" s="360"/>
      <c r="N66" s="360"/>
      <c r="O66" s="360"/>
      <c r="P66" s="360"/>
      <c r="Q66" s="360"/>
      <c r="R66" s="360"/>
      <c r="S66" s="360"/>
      <c r="T66" s="360"/>
      <c r="U66" s="360"/>
      <c r="V66" s="361"/>
    </row>
    <row r="67" spans="5:22">
      <c r="E67" s="362"/>
      <c r="F67" s="363"/>
      <c r="G67" s="363"/>
      <c r="H67" s="363"/>
      <c r="I67" s="363"/>
      <c r="J67" s="363"/>
      <c r="K67" s="363"/>
      <c r="L67" s="363"/>
      <c r="M67" s="363"/>
      <c r="N67" s="363"/>
      <c r="O67" s="363"/>
      <c r="P67" s="363"/>
      <c r="Q67" s="363"/>
      <c r="R67" s="363"/>
      <c r="S67" s="363"/>
      <c r="T67" s="363"/>
      <c r="U67" s="363"/>
      <c r="V67" s="364"/>
    </row>
    <row r="68" spans="5:22">
      <c r="E68" s="365"/>
      <c r="F68" s="366"/>
      <c r="G68" s="366"/>
      <c r="H68" s="366"/>
      <c r="I68" s="366"/>
      <c r="J68" s="366"/>
      <c r="K68" s="366"/>
      <c r="L68" s="366"/>
      <c r="M68" s="366"/>
      <c r="N68" s="366"/>
      <c r="O68" s="366"/>
      <c r="P68" s="366"/>
      <c r="Q68" s="366"/>
      <c r="R68" s="366"/>
      <c r="S68" s="366"/>
      <c r="T68" s="366"/>
      <c r="U68" s="366"/>
      <c r="V68" s="367"/>
    </row>
    <row r="113" ht="15" customHeight="1"/>
  </sheetData>
  <sheetProtection sheet="1" objects="1" scenarios="1"/>
  <mergeCells count="26">
    <mergeCell ref="E14:E23"/>
    <mergeCell ref="I12:I13"/>
    <mergeCell ref="G12:G13"/>
    <mergeCell ref="S12:S13"/>
    <mergeCell ref="T12:T13"/>
    <mergeCell ref="M12:M13"/>
    <mergeCell ref="J12:J13"/>
    <mergeCell ref="L12:L13"/>
    <mergeCell ref="N12:N13"/>
    <mergeCell ref="P12:P13"/>
    <mergeCell ref="R12:R13"/>
    <mergeCell ref="O12:O13"/>
    <mergeCell ref="Q12:Q13"/>
    <mergeCell ref="K12:K13"/>
    <mergeCell ref="C1:W1"/>
    <mergeCell ref="E3:V10"/>
    <mergeCell ref="E12:E13"/>
    <mergeCell ref="F12:F13"/>
    <mergeCell ref="H12:H13"/>
    <mergeCell ref="U12:U13"/>
    <mergeCell ref="V12:V13"/>
    <mergeCell ref="E66:V68"/>
    <mergeCell ref="E54:E63"/>
    <mergeCell ref="E44:E53"/>
    <mergeCell ref="E34:E43"/>
    <mergeCell ref="E24:E33"/>
  </mergeCells>
  <dataValidations count="3">
    <dataValidation type="list" allowBlank="1" showInputMessage="1" showErrorMessage="1" sqref="P14:P63 N14:N63 L14:L63">
      <formula1>Restes</formula1>
    </dataValidation>
    <dataValidation allowBlank="1" showInputMessage="1" showErrorMessage="1" error="Any incorrecte" sqref="H14:H63"/>
    <dataValidation type="whole" operator="greaterThanOrEqual" allowBlank="1" showInputMessage="1" showErrorMessage="1" sqref="I14:I63">
      <formula1>0</formula1>
    </dataValidation>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xmlns:xr="http://schemas.microsoft.com/office/spreadsheetml/2014/revision">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300-000005000000}">
          <x14:formula1>
            <xm:f>#REF!</xm:f>
          </x14:formula1>
          <xm:sqref>#REF!</xm:sqref>
        </x14:dataValidation>
        <x14:dataValidation type="list" operator="equal" allowBlank="1" showInputMessage="1" showErrorMessage="1" xr:uid="{00000000-0002-0000-0300-000006000000}">
          <x14:formula1>
            <xm:f>#REF!</xm:f>
          </x14:formula1>
          <xm:sqref>#REF!</xm:sqref>
        </x14:dataValidation>
      </x14:dataValidations>
    </ext>
  </extLst>
</worksheet>
</file>

<file path=xl/worksheets/sheet5.xml><?xml version="1.0" encoding="utf-8"?>
<worksheet xmlns="http://schemas.openxmlformats.org/spreadsheetml/2006/main" xmlns:r="http://schemas.openxmlformats.org/officeDocument/2006/relationships">
  <sheetPr codeName="Hoja5"/>
  <dimension ref="A1:AMA64"/>
  <sheetViews>
    <sheetView zoomScaleNormal="100" workbookViewId="0">
      <pane xSplit="1" topLeftCell="B1" activePane="topRight" state="frozen"/>
      <selection activeCell="C1" sqref="C1:M1"/>
      <selection pane="topRight" activeCell="I14" sqref="I14"/>
    </sheetView>
  </sheetViews>
  <sheetFormatPr baseColWidth="10" defaultColWidth="9.140625" defaultRowHeight="15"/>
  <cols>
    <col min="1" max="1" width="55.7109375" style="8" customWidth="1"/>
    <col min="2" max="2" width="1.7109375" style="2" customWidth="1"/>
    <col min="3" max="3" width="1" style="2" customWidth="1"/>
    <col min="4" max="4" width="1.42578125" style="6" customWidth="1"/>
    <col min="5" max="5" width="24.7109375" style="6" customWidth="1"/>
    <col min="6" max="6" width="39" style="6" customWidth="1"/>
    <col min="7" max="7" width="28.7109375" style="6" customWidth="1"/>
    <col min="8" max="8" width="14.85546875" style="6" customWidth="1"/>
    <col min="9" max="12" width="20.7109375" style="6" customWidth="1"/>
    <col min="13" max="13" width="3.85546875" style="6" customWidth="1"/>
    <col min="14" max="1015" width="9.140625" style="6"/>
  </cols>
  <sheetData>
    <row r="1" spans="1:13" ht="40.700000000000003" customHeight="1">
      <c r="B1" s="3"/>
      <c r="C1" s="382" t="s">
        <v>113</v>
      </c>
      <c r="D1" s="382"/>
      <c r="E1" s="382"/>
      <c r="F1" s="382"/>
      <c r="G1" s="382"/>
      <c r="H1" s="382"/>
      <c r="I1" s="382"/>
      <c r="J1" s="382"/>
      <c r="K1" s="382"/>
      <c r="L1" s="382"/>
      <c r="M1" s="382"/>
    </row>
    <row r="2" spans="1:13" ht="40.700000000000003" customHeight="1">
      <c r="B2" s="3"/>
    </row>
    <row r="3" spans="1:13" ht="16.5" customHeight="1">
      <c r="A3" s="5"/>
      <c r="B3" s="4"/>
      <c r="E3" s="383" t="s">
        <v>245</v>
      </c>
      <c r="F3" s="383"/>
      <c r="G3" s="383"/>
      <c r="H3" s="383"/>
      <c r="I3" s="383"/>
      <c r="J3" s="383"/>
      <c r="K3" s="383"/>
      <c r="L3" s="383"/>
    </row>
    <row r="4" spans="1:13" ht="20.25" customHeight="1">
      <c r="A4" s="166" t="s">
        <v>171</v>
      </c>
      <c r="B4" s="4"/>
      <c r="E4" s="383"/>
      <c r="F4" s="383"/>
      <c r="G4" s="383"/>
      <c r="H4" s="383"/>
      <c r="I4" s="383"/>
      <c r="J4" s="383"/>
      <c r="K4" s="383"/>
      <c r="L4" s="383"/>
    </row>
    <row r="5" spans="1:13" ht="16.5" customHeight="1">
      <c r="A5" s="166" t="s">
        <v>172</v>
      </c>
      <c r="B5" s="4"/>
      <c r="E5" s="9"/>
      <c r="H5" s="10"/>
      <c r="I5" s="10"/>
      <c r="J5" s="10"/>
      <c r="K5" s="10"/>
      <c r="L5" s="10"/>
    </row>
    <row r="6" spans="1:13" ht="18.75" customHeight="1" thickBot="1">
      <c r="A6" s="166" t="s">
        <v>219</v>
      </c>
      <c r="B6" s="4"/>
      <c r="C6" s="11"/>
    </row>
    <row r="7" spans="1:13" ht="16.5" customHeight="1">
      <c r="A7" s="166" t="s">
        <v>173</v>
      </c>
      <c r="B7" s="4"/>
      <c r="E7" s="384" t="s">
        <v>200</v>
      </c>
      <c r="F7" s="387" t="s">
        <v>84</v>
      </c>
      <c r="G7" s="387" t="s">
        <v>127</v>
      </c>
      <c r="H7" s="387"/>
      <c r="I7" s="387" t="s">
        <v>241</v>
      </c>
      <c r="J7" s="387" t="s">
        <v>242</v>
      </c>
      <c r="K7" s="387" t="s">
        <v>243</v>
      </c>
      <c r="L7" s="393" t="s">
        <v>244</v>
      </c>
    </row>
    <row r="8" spans="1:13" ht="21.75" customHeight="1" thickBot="1">
      <c r="A8" s="166" t="s">
        <v>220</v>
      </c>
      <c r="E8" s="389"/>
      <c r="F8" s="388"/>
      <c r="G8" s="235" t="s">
        <v>12</v>
      </c>
      <c r="H8" s="235" t="s">
        <v>167</v>
      </c>
      <c r="I8" s="388"/>
      <c r="J8" s="388"/>
      <c r="K8" s="388"/>
      <c r="L8" s="394"/>
    </row>
    <row r="9" spans="1:13" ht="16.5" customHeight="1">
      <c r="A9" s="166" t="s">
        <v>174</v>
      </c>
      <c r="E9" s="390" t="str">
        <f>IF(('1. Dades generals del projecte'!D30)="","",('1. Dades generals del projecte'!D30))</f>
        <v/>
      </c>
      <c r="F9" s="197"/>
      <c r="G9" s="236"/>
      <c r="H9" s="119" t="str">
        <f>IFERROR((VLOOKUP(F9,Dades_PA!$A$77:$G$94,7,FALSE)),"")</f>
        <v/>
      </c>
      <c r="I9" s="137" t="str">
        <f>IFERROR(((VLOOKUP(F9,Dades_PA!$A$77:$G$94,2,FALSE))*G9),"")</f>
        <v/>
      </c>
      <c r="J9" s="138" t="str">
        <f>IFERROR(((VLOOKUP(F9,Dades_PA!$A$77:$G$94,3,FALSE))*G9)*1000,"")</f>
        <v/>
      </c>
      <c r="K9" s="138" t="str">
        <f>IFERROR(((VLOOKUP(F9,Dades_PA!$A$77:$G$94,4,FALSE))*G9)*1000,"")</f>
        <v/>
      </c>
      <c r="L9" s="139" t="str">
        <f>IFERROR(((I9+(J9*Dades_PA!$B$135/1000)+(K9*Dades_PA!$B$136/1000))),"")</f>
        <v/>
      </c>
    </row>
    <row r="10" spans="1:13" s="8" customFormat="1" ht="20.100000000000001" customHeight="1">
      <c r="A10" s="166" t="s">
        <v>175</v>
      </c>
      <c r="B10" s="2"/>
      <c r="C10" s="2"/>
      <c r="D10" s="6"/>
      <c r="E10" s="391"/>
      <c r="F10" s="198"/>
      <c r="G10" s="237"/>
      <c r="H10" s="120" t="str">
        <f>IFERROR((VLOOKUP(F10,Dades_PA!$A$77:$G$94,7,FALSE)),"")</f>
        <v/>
      </c>
      <c r="I10" s="140" t="str">
        <f>IFERROR(((VLOOKUP(F10,Dades_PA!$A$77:$G$94,2,FALSE))*G10),"")</f>
        <v/>
      </c>
      <c r="J10" s="141" t="str">
        <f>IFERROR(((VLOOKUP(F10,Dades_PA!$A$77:$G$94,3,FALSE))*G10)*1000,"")</f>
        <v/>
      </c>
      <c r="K10" s="141" t="str">
        <f>IFERROR(((VLOOKUP(F10,Dades_PA!$A$77:$G$94,4,FALSE))*G10)*1000,"")</f>
        <v/>
      </c>
      <c r="L10" s="142" t="str">
        <f>IFERROR(((I10+(J10*Dades_PA!$B$135/1000)+(K10*Dades_PA!$B$136/1000))),"")</f>
        <v/>
      </c>
    </row>
    <row r="11" spans="1:13" ht="17.25" customHeight="1">
      <c r="A11" s="5"/>
      <c r="E11" s="391"/>
      <c r="F11" s="198"/>
      <c r="G11" s="237"/>
      <c r="H11" s="120" t="str">
        <f>IFERROR((VLOOKUP(F11,Dades_PA!$A$77:$G$94,7,FALSE)),"")</f>
        <v/>
      </c>
      <c r="I11" s="140" t="str">
        <f>IFERROR(((VLOOKUP(F11,Dades_PA!$A$77:$G$94,2,FALSE))*G11),"")</f>
        <v/>
      </c>
      <c r="J11" s="141" t="str">
        <f>IFERROR(((VLOOKUP(F11,Dades_PA!$A$77:$G$94,3,FALSE))*G11)*1000,"")</f>
        <v/>
      </c>
      <c r="K11" s="141" t="str">
        <f>IFERROR(((VLOOKUP(F11,Dades_PA!$A$77:$G$94,4,FALSE))*G11)*1000,"")</f>
        <v/>
      </c>
      <c r="L11" s="142" t="str">
        <f>IFERROR(((I11+(J11*Dades_PA!$B$135/1000)+(K11*Dades_PA!$B$136/1000))),"")</f>
        <v/>
      </c>
    </row>
    <row r="12" spans="1:13" ht="17.25" customHeight="1">
      <c r="A12" s="5"/>
      <c r="E12" s="391"/>
      <c r="F12" s="198"/>
      <c r="G12" s="237"/>
      <c r="H12" s="120" t="str">
        <f>IFERROR((VLOOKUP(F12,Dades_PA!$A$77:$G$94,7,FALSE)),"")</f>
        <v/>
      </c>
      <c r="I12" s="140" t="str">
        <f>IFERROR(((VLOOKUP(F12,Dades_PA!$A$77:$G$94,2,FALSE))*G12),"")</f>
        <v/>
      </c>
      <c r="J12" s="141" t="str">
        <f>IFERROR(((VLOOKUP(F12,Dades_PA!$A$77:$G$94,3,FALSE))*G12)*1000,"")</f>
        <v/>
      </c>
      <c r="K12" s="141" t="str">
        <f>IFERROR(((VLOOKUP(F12,Dades_PA!$A$77:$G$94,4,FALSE))*G12)*1000,"")</f>
        <v/>
      </c>
      <c r="L12" s="142" t="str">
        <f>IFERROR(((I12+(J12*Dades_PA!$B$135/1000)+(K12*Dades_PA!$B$136/1000))),"")</f>
        <v/>
      </c>
    </row>
    <row r="13" spans="1:13" ht="17.25" customHeight="1">
      <c r="A13" s="5"/>
      <c r="E13" s="391"/>
      <c r="F13" s="198"/>
      <c r="G13" s="237"/>
      <c r="H13" s="120" t="str">
        <f>IFERROR((VLOOKUP(F13,Dades_PA!$A$77:$G$94,7,FALSE)),"")</f>
        <v/>
      </c>
      <c r="I13" s="140" t="str">
        <f>IFERROR(((VLOOKUP(F13,Dades_PA!$A$77:$G$94,2,FALSE))*G13),"")</f>
        <v/>
      </c>
      <c r="J13" s="141" t="str">
        <f>IFERROR(((VLOOKUP(F13,Dades_PA!$A$77:$G$94,3,FALSE))*G13)*1000,"")</f>
        <v/>
      </c>
      <c r="K13" s="141" t="str">
        <f>IFERROR(((VLOOKUP(F13,Dades_PA!$A$77:$G$94,4,FALSE))*G13)*1000,"")</f>
        <v/>
      </c>
      <c r="L13" s="142" t="str">
        <f>IFERROR(((I13+(J13*Dades_PA!$B$135/1000)+(K13*Dades_PA!$B$136/1000))),"")</f>
        <v/>
      </c>
    </row>
    <row r="14" spans="1:13" ht="16.5">
      <c r="E14" s="391"/>
      <c r="F14" s="198"/>
      <c r="G14" s="237"/>
      <c r="H14" s="120" t="str">
        <f>IFERROR((VLOOKUP(F14,Dades_PA!$A$77:$G$94,7,FALSE)),"")</f>
        <v/>
      </c>
      <c r="I14" s="140" t="str">
        <f>IFERROR(((VLOOKUP(F14,Dades_PA!$A$77:$G$94,2,FALSE))*G14),"")</f>
        <v/>
      </c>
      <c r="J14" s="141" t="str">
        <f>IFERROR(((VLOOKUP(F14,Dades_PA!$A$77:$G$94,3,FALSE))*G14)*1000,"")</f>
        <v/>
      </c>
      <c r="K14" s="141" t="str">
        <f>IFERROR(((VLOOKUP(F14,Dades_PA!$A$77:$G$94,4,FALSE))*G14)*1000,"")</f>
        <v/>
      </c>
      <c r="L14" s="142" t="str">
        <f>IFERROR(((I14+(J14*Dades_PA!$B$135/1000)+(K14*Dades_PA!$B$136/1000))),"")</f>
        <v/>
      </c>
    </row>
    <row r="15" spans="1:13" ht="16.5">
      <c r="E15" s="391"/>
      <c r="F15" s="198"/>
      <c r="G15" s="237"/>
      <c r="H15" s="120" t="str">
        <f>IFERROR((VLOOKUP(F15,Dades_PA!$A$77:$G$94,7,FALSE)),"")</f>
        <v/>
      </c>
      <c r="I15" s="140" t="str">
        <f>IFERROR(((VLOOKUP(F15,Dades_PA!$A$77:$G$94,2,FALSE))*G15),"")</f>
        <v/>
      </c>
      <c r="J15" s="141" t="str">
        <f>IFERROR(((VLOOKUP(F15,Dades_PA!$A$77:$G$94,3,FALSE))*G15)*1000,"")</f>
        <v/>
      </c>
      <c r="K15" s="141" t="str">
        <f>IFERROR(((VLOOKUP(F15,Dades_PA!$A$77:$G$94,4,FALSE))*G15)*1000,"")</f>
        <v/>
      </c>
      <c r="L15" s="142" t="str">
        <f>IFERROR(((I15+(J15*Dades_PA!$B$135/1000)+(K15*Dades_PA!$B$136/1000))),"")</f>
        <v/>
      </c>
    </row>
    <row r="16" spans="1:13" ht="16.5">
      <c r="E16" s="391"/>
      <c r="F16" s="198"/>
      <c r="G16" s="237"/>
      <c r="H16" s="120" t="str">
        <f>IFERROR((VLOOKUP(F16,Dades_PA!$A$77:$G$94,7,FALSE)),"")</f>
        <v/>
      </c>
      <c r="I16" s="140" t="str">
        <f>IFERROR(((VLOOKUP(F16,Dades_PA!$A$77:$G$94,2,FALSE))*G16),"")</f>
        <v/>
      </c>
      <c r="J16" s="141" t="str">
        <f>IFERROR(((VLOOKUP(F16,Dades_PA!$A$77:$G$94,3,FALSE))*G16)*1000,"")</f>
        <v/>
      </c>
      <c r="K16" s="141" t="str">
        <f>IFERROR(((VLOOKUP(F16,Dades_PA!$A$77:$G$94,4,FALSE))*G16)*1000,"")</f>
        <v/>
      </c>
      <c r="L16" s="142" t="str">
        <f>IFERROR(((I16+(J16*Dades_PA!$B$135/1000)+(K16*Dades_PA!$B$136/1000))),"")</f>
        <v/>
      </c>
    </row>
    <row r="17" spans="5:12" ht="16.5">
      <c r="E17" s="391"/>
      <c r="F17" s="198"/>
      <c r="G17" s="237"/>
      <c r="H17" s="120" t="str">
        <f>IFERROR((VLOOKUP(F17,Dades_PA!$A$77:$G$94,7,FALSE)),"")</f>
        <v/>
      </c>
      <c r="I17" s="140" t="str">
        <f>IFERROR(((VLOOKUP(F17,Dades_PA!$A$77:$G$94,2,FALSE))*G17),"")</f>
        <v/>
      </c>
      <c r="J17" s="141" t="str">
        <f>IFERROR(((VLOOKUP(F17,Dades_PA!$A$77:$G$94,3,FALSE))*G17)*1000,"")</f>
        <v/>
      </c>
      <c r="K17" s="141" t="str">
        <f>IFERROR(((VLOOKUP(F17,Dades_PA!$A$77:$G$94,4,FALSE))*G17)*1000,"")</f>
        <v/>
      </c>
      <c r="L17" s="142" t="str">
        <f>IFERROR(((I17+(J17*Dades_PA!$B$135/1000)+(K17*Dades_PA!$B$136/1000))),"")</f>
        <v/>
      </c>
    </row>
    <row r="18" spans="5:12" ht="17.25" thickBot="1">
      <c r="E18" s="392"/>
      <c r="F18" s="199"/>
      <c r="G18" s="238"/>
      <c r="H18" s="121" t="str">
        <f>IFERROR((VLOOKUP(F18,Dades_PA!$A$77:$G$94,7,FALSE)),"")</f>
        <v/>
      </c>
      <c r="I18" s="143" t="str">
        <f>IFERROR(((VLOOKUP(F18,Dades_PA!$A$77:$G$94,2,FALSE))*G18),"")</f>
        <v/>
      </c>
      <c r="J18" s="144" t="str">
        <f>IFERROR(((VLOOKUP(F18,Dades_PA!$A$77:$G$94,3,FALSE))*G18)*1000,"")</f>
        <v/>
      </c>
      <c r="K18" s="144" t="str">
        <f>IFERROR(((VLOOKUP(F18,Dades_PA!$A$77:$G$94,4,FALSE))*G18)*1000,"")</f>
        <v/>
      </c>
      <c r="L18" s="145" t="str">
        <f>IFERROR(((I18+(J18*Dades_PA!$B$135/1000)+(K18*Dades_PA!$B$136/1000))),"")</f>
        <v/>
      </c>
    </row>
    <row r="19" spans="5:12" ht="16.5">
      <c r="E19" s="384" t="str">
        <f>IF(('1. Dades generals del projecte'!D31)="","",('1. Dades generals del projecte'!D31))</f>
        <v/>
      </c>
      <c r="F19" s="197"/>
      <c r="G19" s="236"/>
      <c r="H19" s="119" t="str">
        <f>IFERROR((VLOOKUP(F19,Dades_PA!$A$77:$G$94,7,FALSE)),"")</f>
        <v/>
      </c>
      <c r="I19" s="137" t="str">
        <f>IFERROR(((VLOOKUP(F19,Dades_PA!$A$77:$G$94,2,FALSE))*G19),"")</f>
        <v/>
      </c>
      <c r="J19" s="138" t="str">
        <f>IFERROR(((VLOOKUP(F19,Dades_PA!$A$77:$G$94,3,FALSE))*G19)*1000,"")</f>
        <v/>
      </c>
      <c r="K19" s="138" t="str">
        <f>IFERROR(((VLOOKUP(F19,Dades_PA!$A$77:$G$94,4,FALSE))*G19)*1000,"")</f>
        <v/>
      </c>
      <c r="L19" s="139" t="str">
        <f>IFERROR(((I19+(J19*Dades_PA!$B$135/1000)+(K19*Dades_PA!$B$136/1000))),"")</f>
        <v/>
      </c>
    </row>
    <row r="20" spans="5:12" ht="16.5">
      <c r="E20" s="385"/>
      <c r="F20" s="198"/>
      <c r="G20" s="237"/>
      <c r="H20" s="120" t="str">
        <f>IFERROR((VLOOKUP(F20,Dades_PA!$A$77:$G$94,7,FALSE)),"")</f>
        <v/>
      </c>
      <c r="I20" s="140" t="str">
        <f>IFERROR(((VLOOKUP(F20,Dades_PA!$A$77:$G$94,2,FALSE))*G20),"")</f>
        <v/>
      </c>
      <c r="J20" s="141" t="str">
        <f>IFERROR(((VLOOKUP(F20,Dades_PA!$A$77:$G$94,3,FALSE))*G20)*1000,"")</f>
        <v/>
      </c>
      <c r="K20" s="141" t="str">
        <f>IFERROR(((VLOOKUP(F20,Dades_PA!$A$77:$G$94,4,FALSE))*G20)*1000,"")</f>
        <v/>
      </c>
      <c r="L20" s="142" t="str">
        <f>IFERROR(((I20+(J20*Dades_PA!$B$135/1000)+(K20*Dades_PA!$B$136/1000))),"")</f>
        <v/>
      </c>
    </row>
    <row r="21" spans="5:12" ht="16.5">
      <c r="E21" s="385"/>
      <c r="F21" s="198"/>
      <c r="G21" s="237"/>
      <c r="H21" s="120" t="str">
        <f>IFERROR((VLOOKUP(F21,Dades_PA!$A$77:$G$94,7,FALSE)),"")</f>
        <v/>
      </c>
      <c r="I21" s="140" t="str">
        <f>IFERROR(((VLOOKUP(F21,Dades_PA!$A$77:$G$94,2,FALSE))*G21),"")</f>
        <v/>
      </c>
      <c r="J21" s="141" t="str">
        <f>IFERROR(((VLOOKUP(F21,Dades_PA!$A$77:$G$94,3,FALSE))*G21)*1000,"")</f>
        <v/>
      </c>
      <c r="K21" s="141" t="str">
        <f>IFERROR(((VLOOKUP(F21,Dades_PA!$A$77:$G$94,4,FALSE))*G21)*1000,"")</f>
        <v/>
      </c>
      <c r="L21" s="142" t="str">
        <f>IFERROR(((I21+(J21*Dades_PA!$B$135/1000)+(K21*Dades_PA!$B$136/1000))),"")</f>
        <v/>
      </c>
    </row>
    <row r="22" spans="5:12" ht="16.5">
      <c r="E22" s="385"/>
      <c r="F22" s="198"/>
      <c r="G22" s="237"/>
      <c r="H22" s="120" t="str">
        <f>IFERROR((VLOOKUP(F22,Dades_PA!$A$77:$G$94,7,FALSE)),"")</f>
        <v/>
      </c>
      <c r="I22" s="140" t="str">
        <f>IFERROR(((VLOOKUP(F22,Dades_PA!$A$77:$G$94,2,FALSE))*G22),"")</f>
        <v/>
      </c>
      <c r="J22" s="141" t="str">
        <f>IFERROR(((VLOOKUP(F22,Dades_PA!$A$77:$G$94,3,FALSE))*G22)*1000,"")</f>
        <v/>
      </c>
      <c r="K22" s="141" t="str">
        <f>IFERROR(((VLOOKUP(F22,Dades_PA!$A$77:$G$94,4,FALSE))*G22)*1000,"")</f>
        <v/>
      </c>
      <c r="L22" s="142" t="str">
        <f>IFERROR(((I22+(J22*Dades_PA!$B$135/1000)+(K22*Dades_PA!$B$136/1000))),"")</f>
        <v/>
      </c>
    </row>
    <row r="23" spans="5:12" ht="16.5">
      <c r="E23" s="385"/>
      <c r="F23" s="198"/>
      <c r="G23" s="237"/>
      <c r="H23" s="120" t="str">
        <f>IFERROR((VLOOKUP(F23,Dades_PA!$A$77:$G$94,7,FALSE)),"")</f>
        <v/>
      </c>
      <c r="I23" s="140" t="str">
        <f>IFERROR(((VLOOKUP(F23,Dades_PA!$A$77:$G$94,2,FALSE))*G23),"")</f>
        <v/>
      </c>
      <c r="J23" s="141" t="str">
        <f>IFERROR(((VLOOKUP(F23,Dades_PA!$A$77:$G$94,3,FALSE))*G23)*1000,"")</f>
        <v/>
      </c>
      <c r="K23" s="141" t="str">
        <f>IFERROR(((VLOOKUP(F23,Dades_PA!$A$77:$G$94,4,FALSE))*G23)*1000,"")</f>
        <v/>
      </c>
      <c r="L23" s="142" t="str">
        <f>IFERROR(((I23+(J23*Dades_PA!$B$135/1000)+(K23*Dades_PA!$B$136/1000))),"")</f>
        <v/>
      </c>
    </row>
    <row r="24" spans="5:12" ht="16.5">
      <c r="E24" s="385"/>
      <c r="F24" s="198"/>
      <c r="G24" s="237"/>
      <c r="H24" s="120" t="str">
        <f>IFERROR((VLOOKUP(F24,Dades_PA!$A$77:$G$94,7,FALSE)),"")</f>
        <v/>
      </c>
      <c r="I24" s="140" t="str">
        <f>IFERROR(((VLOOKUP(F24,Dades_PA!$A$77:$G$94,2,FALSE))*G24),"")</f>
        <v/>
      </c>
      <c r="J24" s="141" t="str">
        <f>IFERROR(((VLOOKUP(F24,Dades_PA!$A$77:$G$94,3,FALSE))*G24)*1000,"")</f>
        <v/>
      </c>
      <c r="K24" s="141" t="str">
        <f>IFERROR(((VLOOKUP(F24,Dades_PA!$A$77:$G$94,4,FALSE))*G24)*1000,"")</f>
        <v/>
      </c>
      <c r="L24" s="142" t="str">
        <f>IFERROR(((I24+(J24*Dades_PA!$B$135/1000)+(K24*Dades_PA!$B$136/1000))),"")</f>
        <v/>
      </c>
    </row>
    <row r="25" spans="5:12" ht="16.5">
      <c r="E25" s="385"/>
      <c r="F25" s="198"/>
      <c r="G25" s="237"/>
      <c r="H25" s="120" t="str">
        <f>IFERROR((VLOOKUP(F25,Dades_PA!$A$77:$G$94,7,FALSE)),"")</f>
        <v/>
      </c>
      <c r="I25" s="140" t="str">
        <f>IFERROR(((VLOOKUP(F25,Dades_PA!$A$77:$G$94,2,FALSE))*G25),"")</f>
        <v/>
      </c>
      <c r="J25" s="141" t="str">
        <f>IFERROR(((VLOOKUP(F25,Dades_PA!$A$77:$G$94,3,FALSE))*G25)*1000,"")</f>
        <v/>
      </c>
      <c r="K25" s="141" t="str">
        <f>IFERROR(((VLOOKUP(F25,Dades_PA!$A$77:$G$94,4,FALSE))*G25)*1000,"")</f>
        <v/>
      </c>
      <c r="L25" s="142" t="str">
        <f>IFERROR(((I25+(J25*Dades_PA!$B$135/1000)+(K25*Dades_PA!$B$136/1000))),"")</f>
        <v/>
      </c>
    </row>
    <row r="26" spans="5:12" ht="16.5">
      <c r="E26" s="385"/>
      <c r="F26" s="198"/>
      <c r="G26" s="237"/>
      <c r="H26" s="120" t="str">
        <f>IFERROR((VLOOKUP(F26,Dades_PA!$A$77:$G$94,7,FALSE)),"")</f>
        <v/>
      </c>
      <c r="I26" s="140" t="str">
        <f>IFERROR(((VLOOKUP(F26,Dades_PA!$A$77:$G$94,2,FALSE))*G26),"")</f>
        <v/>
      </c>
      <c r="J26" s="141" t="str">
        <f>IFERROR(((VLOOKUP(F26,Dades_PA!$A$77:$G$94,3,FALSE))*G26)*1000,"")</f>
        <v/>
      </c>
      <c r="K26" s="141" t="str">
        <f>IFERROR(((VLOOKUP(F26,Dades_PA!$A$77:$G$94,4,FALSE))*G26)*1000,"")</f>
        <v/>
      </c>
      <c r="L26" s="142" t="str">
        <f>IFERROR(((I26+(J26*Dades_PA!$B$135/1000)+(K26*Dades_PA!$B$136/1000))),"")</f>
        <v/>
      </c>
    </row>
    <row r="27" spans="5:12" ht="16.5">
      <c r="E27" s="385"/>
      <c r="F27" s="198"/>
      <c r="G27" s="237"/>
      <c r="H27" s="120" t="str">
        <f>IFERROR((VLOOKUP(F27,Dades_PA!$A$77:$G$94,7,FALSE)),"")</f>
        <v/>
      </c>
      <c r="I27" s="140" t="str">
        <f>IFERROR(((VLOOKUP(F27,Dades_PA!$A$77:$G$94,2,FALSE))*G27),"")</f>
        <v/>
      </c>
      <c r="J27" s="141" t="str">
        <f>IFERROR(((VLOOKUP(F27,Dades_PA!$A$77:$G$94,3,FALSE))*G27)*1000,"")</f>
        <v/>
      </c>
      <c r="K27" s="141" t="str">
        <f>IFERROR(((VLOOKUP(F27,Dades_PA!$A$77:$G$94,4,FALSE))*G27)*1000,"")</f>
        <v/>
      </c>
      <c r="L27" s="142" t="str">
        <f>IFERROR(((I27+(J27*Dades_PA!$B$135/1000)+(K27*Dades_PA!$B$136/1000))),"")</f>
        <v/>
      </c>
    </row>
    <row r="28" spans="5:12" ht="17.25" thickBot="1">
      <c r="E28" s="386"/>
      <c r="F28" s="199"/>
      <c r="G28" s="238"/>
      <c r="H28" s="121" t="str">
        <f>IFERROR((VLOOKUP(F28,Dades_PA!$A$77:$G$94,7,FALSE)),"")</f>
        <v/>
      </c>
      <c r="I28" s="143" t="str">
        <f>IFERROR(((VLOOKUP(F28,Dades_PA!$A$77:$G$94,2,FALSE))*G28),"")</f>
        <v/>
      </c>
      <c r="J28" s="144" t="str">
        <f>IFERROR(((VLOOKUP(F28,Dades_PA!$A$77:$G$94,3,FALSE))*G28)*1000,"")</f>
        <v/>
      </c>
      <c r="K28" s="144" t="str">
        <f>IFERROR(((VLOOKUP(F28,Dades_PA!$A$77:$G$94,4,FALSE))*G28)*1000,"")</f>
        <v/>
      </c>
      <c r="L28" s="145" t="str">
        <f>IFERROR(((I28+(J28*Dades_PA!$B$135/1000)+(K28*Dades_PA!$B$136/1000))),"")</f>
        <v/>
      </c>
    </row>
    <row r="29" spans="5:12" ht="16.5">
      <c r="E29" s="384" t="str">
        <f>IF(('1. Dades generals del projecte'!D32)="","",('1. Dades generals del projecte'!D32))</f>
        <v/>
      </c>
      <c r="F29" s="197"/>
      <c r="G29" s="236"/>
      <c r="H29" s="119" t="str">
        <f>IFERROR((VLOOKUP(F29,Dades_PA!$A$77:$G$94,7,FALSE)),"")</f>
        <v/>
      </c>
      <c r="I29" s="137" t="str">
        <f>IFERROR(((VLOOKUP(F29,Dades_PA!$A$77:$G$94,2,FALSE))*G29),"")</f>
        <v/>
      </c>
      <c r="J29" s="138" t="str">
        <f>IFERROR(((VLOOKUP(F29,Dades_PA!$A$77:$G$94,3,FALSE))*G29)*1000,"")</f>
        <v/>
      </c>
      <c r="K29" s="138" t="str">
        <f>IFERROR(((VLOOKUP(F29,Dades_PA!$A$77:$G$94,4,FALSE))*G29)*1000,"")</f>
        <v/>
      </c>
      <c r="L29" s="139" t="str">
        <f>IFERROR(((I29+(J29*Dades_PA!$B$135/1000)+(K29*Dades_PA!$B$136/1000))),"")</f>
        <v/>
      </c>
    </row>
    <row r="30" spans="5:12" ht="16.5">
      <c r="E30" s="385"/>
      <c r="F30" s="198"/>
      <c r="G30" s="237"/>
      <c r="H30" s="120" t="str">
        <f>IFERROR((VLOOKUP(F30,Dades_PA!$A$77:$G$94,7,FALSE)),"")</f>
        <v/>
      </c>
      <c r="I30" s="140" t="str">
        <f>IFERROR(((VLOOKUP(F30,Dades_PA!$A$77:$G$94,2,FALSE))*G30),"")</f>
        <v/>
      </c>
      <c r="J30" s="141" t="str">
        <f>IFERROR(((VLOOKUP(F30,Dades_PA!$A$77:$G$94,3,FALSE))*G30)*1000,"")</f>
        <v/>
      </c>
      <c r="K30" s="141" t="str">
        <f>IFERROR(((VLOOKUP(F30,Dades_PA!$A$77:$G$94,4,FALSE))*G30)*1000,"")</f>
        <v/>
      </c>
      <c r="L30" s="142" t="str">
        <f>IFERROR(((I30+(J30*Dades_PA!$B$135/1000)+(K30*Dades_PA!$B$136/1000))),"")</f>
        <v/>
      </c>
    </row>
    <row r="31" spans="5:12" ht="16.5">
      <c r="E31" s="385"/>
      <c r="F31" s="198"/>
      <c r="G31" s="237"/>
      <c r="H31" s="120" t="str">
        <f>IFERROR((VLOOKUP(F31,Dades_PA!$A$77:$G$94,7,FALSE)),"")</f>
        <v/>
      </c>
      <c r="I31" s="140" t="str">
        <f>IFERROR(((VLOOKUP(F31,Dades_PA!$A$77:$G$94,2,FALSE))*G31),"")</f>
        <v/>
      </c>
      <c r="J31" s="141" t="str">
        <f>IFERROR(((VLOOKUP(F31,Dades_PA!$A$77:$G$94,3,FALSE))*G31)*1000,"")</f>
        <v/>
      </c>
      <c r="K31" s="141" t="str">
        <f>IFERROR(((VLOOKUP(F31,Dades_PA!$A$77:$G$94,4,FALSE))*G31)*1000,"")</f>
        <v/>
      </c>
      <c r="L31" s="142" t="str">
        <f>IFERROR(((I31+(J31*Dades_PA!$B$135/1000)+(K31*Dades_PA!$B$136/1000))),"")</f>
        <v/>
      </c>
    </row>
    <row r="32" spans="5:12" ht="16.5">
      <c r="E32" s="385"/>
      <c r="F32" s="198"/>
      <c r="G32" s="237"/>
      <c r="H32" s="120" t="str">
        <f>IFERROR((VLOOKUP(F32,Dades_PA!$A$77:$G$94,7,FALSE)),"")</f>
        <v/>
      </c>
      <c r="I32" s="140" t="str">
        <f>IFERROR(((VLOOKUP(F32,Dades_PA!$A$77:$G$94,2,FALSE))*G32),"")</f>
        <v/>
      </c>
      <c r="J32" s="141" t="str">
        <f>IFERROR(((VLOOKUP(F32,Dades_PA!$A$77:$G$94,3,FALSE))*G32)*1000,"")</f>
        <v/>
      </c>
      <c r="K32" s="141" t="str">
        <f>IFERROR(((VLOOKUP(F32,Dades_PA!$A$77:$G$94,4,FALSE))*G32)*1000,"")</f>
        <v/>
      </c>
      <c r="L32" s="142" t="str">
        <f>IFERROR(((I32+(J32*Dades_PA!$B$135/1000)+(K32*Dades_PA!$B$136/1000))),"")</f>
        <v/>
      </c>
    </row>
    <row r="33" spans="5:12" ht="15" customHeight="1">
      <c r="E33" s="385"/>
      <c r="F33" s="198"/>
      <c r="G33" s="237"/>
      <c r="H33" s="120" t="str">
        <f>IFERROR((VLOOKUP(F33,Dades_PA!$A$77:$G$94,7,FALSE)),"")</f>
        <v/>
      </c>
      <c r="I33" s="140" t="str">
        <f>IFERROR(((VLOOKUP(F33,Dades_PA!$A$77:$G$94,2,FALSE))*G33),"")</f>
        <v/>
      </c>
      <c r="J33" s="141" t="str">
        <f>IFERROR(((VLOOKUP(F33,Dades_PA!$A$77:$G$94,3,FALSE))*G33)*1000,"")</f>
        <v/>
      </c>
      <c r="K33" s="141" t="str">
        <f>IFERROR(((VLOOKUP(F33,Dades_PA!$A$77:$G$94,4,FALSE))*G33)*1000,"")</f>
        <v/>
      </c>
      <c r="L33" s="142" t="str">
        <f>IFERROR(((I33+(J33*Dades_PA!$B$135/1000)+(K33*Dades_PA!$B$136/1000))),"")</f>
        <v/>
      </c>
    </row>
    <row r="34" spans="5:12" ht="16.5">
      <c r="E34" s="385"/>
      <c r="F34" s="198"/>
      <c r="G34" s="237"/>
      <c r="H34" s="120" t="str">
        <f>IFERROR((VLOOKUP(F34,Dades_PA!$A$77:$G$94,7,FALSE)),"")</f>
        <v/>
      </c>
      <c r="I34" s="140" t="str">
        <f>IFERROR(((VLOOKUP(F34,Dades_PA!$A$77:$G$94,2,FALSE))*G34),"")</f>
        <v/>
      </c>
      <c r="J34" s="141" t="str">
        <f>IFERROR(((VLOOKUP(F34,Dades_PA!$A$77:$G$94,3,FALSE))*G34)*1000,"")</f>
        <v/>
      </c>
      <c r="K34" s="141" t="str">
        <f>IFERROR(((VLOOKUP(F34,Dades_PA!$A$77:$G$94,4,FALSE))*G34)*1000,"")</f>
        <v/>
      </c>
      <c r="L34" s="142" t="str">
        <f>IFERROR(((I34+(J34*Dades_PA!$B$135/1000)+(K34*Dades_PA!$B$136/1000))),"")</f>
        <v/>
      </c>
    </row>
    <row r="35" spans="5:12" ht="16.5">
      <c r="E35" s="385"/>
      <c r="F35" s="198"/>
      <c r="G35" s="239"/>
      <c r="H35" s="120" t="str">
        <f>IFERROR((VLOOKUP(F35,Dades_PA!$A$77:$G$94,7,FALSE)),"")</f>
        <v/>
      </c>
      <c r="I35" s="140" t="str">
        <f>IFERROR(((VLOOKUP(F35,Dades_PA!$A$77:$G$94,2,FALSE))*G35),"")</f>
        <v/>
      </c>
      <c r="J35" s="141" t="str">
        <f>IFERROR(((VLOOKUP(F35,Dades_PA!$A$77:$G$94,3,FALSE))*G35)*1000,"")</f>
        <v/>
      </c>
      <c r="K35" s="141" t="str">
        <f>IFERROR(((VLOOKUP(F35,Dades_PA!$A$77:$G$94,4,FALSE))*G35)*1000,"")</f>
        <v/>
      </c>
      <c r="L35" s="142" t="str">
        <f>IFERROR(((I35+(J35*Dades_PA!$B$135/1000)+(K35*Dades_PA!$B$136/1000))),"")</f>
        <v/>
      </c>
    </row>
    <row r="36" spans="5:12" ht="16.5">
      <c r="E36" s="385"/>
      <c r="F36" s="198"/>
      <c r="G36" s="239"/>
      <c r="H36" s="120" t="str">
        <f>IFERROR((VLOOKUP(F36,Dades_PA!$A$77:$G$94,7,FALSE)),"")</f>
        <v/>
      </c>
      <c r="I36" s="140" t="str">
        <f>IFERROR(((VLOOKUP(F36,Dades_PA!$A$77:$G$94,2,FALSE))*G36),"")</f>
        <v/>
      </c>
      <c r="J36" s="141" t="str">
        <f>IFERROR(((VLOOKUP(F36,Dades_PA!$A$77:$G$94,3,FALSE))*G36)*1000,"")</f>
        <v/>
      </c>
      <c r="K36" s="141" t="str">
        <f>IFERROR(((VLOOKUP(F36,Dades_PA!$A$77:$G$94,4,FALSE))*G36)*1000,"")</f>
        <v/>
      </c>
      <c r="L36" s="142" t="str">
        <f>IFERROR(((I36+(J36*Dades_PA!$B$135/1000)+(K36*Dades_PA!$B$136/1000))),"")</f>
        <v/>
      </c>
    </row>
    <row r="37" spans="5:12" ht="16.5">
      <c r="E37" s="385"/>
      <c r="F37" s="198"/>
      <c r="G37" s="237"/>
      <c r="H37" s="120" t="str">
        <f>IFERROR((VLOOKUP(F37,Dades_PA!$A$77:$G$94,7,FALSE)),"")</f>
        <v/>
      </c>
      <c r="I37" s="140" t="str">
        <f>IFERROR(((VLOOKUP(F37,Dades_PA!$A$77:$G$94,2,FALSE))*G37),"")</f>
        <v/>
      </c>
      <c r="J37" s="141" t="str">
        <f>IFERROR(((VLOOKUP(F37,Dades_PA!$A$77:$G$94,3,FALSE))*G37)*1000,"")</f>
        <v/>
      </c>
      <c r="K37" s="141" t="str">
        <f>IFERROR(((VLOOKUP(F37,Dades_PA!$A$77:$G$94,4,FALSE))*G37)*1000,"")</f>
        <v/>
      </c>
      <c r="L37" s="142" t="str">
        <f>IFERROR(((I37+(J37*Dades_PA!$B$135/1000)+(K37*Dades_PA!$B$136/1000))),"")</f>
        <v/>
      </c>
    </row>
    <row r="38" spans="5:12" ht="16.5">
      <c r="E38" s="385"/>
      <c r="F38" s="198"/>
      <c r="G38" s="237"/>
      <c r="H38" s="120" t="str">
        <f>IFERROR((VLOOKUP(F38,Dades_PA!$A$77:$G$94,7,FALSE)),"")</f>
        <v/>
      </c>
      <c r="I38" s="140" t="str">
        <f>IFERROR(((VLOOKUP(F38,Dades_PA!$A$77:$G$94,2,FALSE))*G38),"")</f>
        <v/>
      </c>
      <c r="J38" s="141" t="str">
        <f>IFERROR(((VLOOKUP(F38,Dades_PA!$A$77:$G$94,3,FALSE))*G38)*1000,"")</f>
        <v/>
      </c>
      <c r="K38" s="141" t="str">
        <f>IFERROR(((VLOOKUP(F38,Dades_PA!$A$77:$G$94,4,FALSE))*G38)*1000,"")</f>
        <v/>
      </c>
      <c r="L38" s="142" t="str">
        <f>IFERROR(((I38+(J38*Dades_PA!$B$135/1000)+(K38*Dades_PA!$B$136/1000))),"")</f>
        <v/>
      </c>
    </row>
    <row r="39" spans="5:12" ht="17.25" thickBot="1">
      <c r="E39" s="386"/>
      <c r="F39" s="199"/>
      <c r="G39" s="238"/>
      <c r="H39" s="121" t="str">
        <f>IFERROR((VLOOKUP(F39,Dades_PA!$A$77:$G$94,7,FALSE)),"")</f>
        <v/>
      </c>
      <c r="I39" s="143" t="str">
        <f>IFERROR(((VLOOKUP(F39,Dades_PA!$A$77:$G$94,2,FALSE))*G39),"")</f>
        <v/>
      </c>
      <c r="J39" s="144" t="str">
        <f>IFERROR(((VLOOKUP(F39,Dades_PA!$A$77:$G$94,3,FALSE))*G39)*1000,"")</f>
        <v/>
      </c>
      <c r="K39" s="144" t="str">
        <f>IFERROR(((VLOOKUP(F39,Dades_PA!$A$77:$G$94,4,FALSE))*G39)*1000,"")</f>
        <v/>
      </c>
      <c r="L39" s="145" t="str">
        <f>IFERROR(((I39+(J39*Dades_PA!$B$135/1000)+(K39*Dades_PA!$B$136/1000))),"")</f>
        <v/>
      </c>
    </row>
    <row r="40" spans="5:12" ht="16.5">
      <c r="E40" s="384" t="str">
        <f>IF(('1. Dades generals del projecte'!D33)="","",('1. Dades generals del projecte'!D33))</f>
        <v/>
      </c>
      <c r="F40" s="197"/>
      <c r="G40" s="236"/>
      <c r="H40" s="119" t="str">
        <f>IFERROR((VLOOKUP(F40,Dades_PA!$A$77:$G$94,7,FALSE)),"")</f>
        <v/>
      </c>
      <c r="I40" s="137" t="str">
        <f>IFERROR(((VLOOKUP(F40,Dades_PA!$A$77:$G$94,2,FALSE))*G40),"")</f>
        <v/>
      </c>
      <c r="J40" s="138" t="str">
        <f>IFERROR(((VLOOKUP(F40,Dades_PA!$A$77:$G$94,3,FALSE))*G40)*1000,"")</f>
        <v/>
      </c>
      <c r="K40" s="138" t="str">
        <f>IFERROR(((VLOOKUP(F40,Dades_PA!$A$77:$G$94,4,FALSE))*G40)*1000,"")</f>
        <v/>
      </c>
      <c r="L40" s="139" t="str">
        <f>IFERROR(((I40+(J40*Dades_PA!$B$135/1000)+(K40*Dades_PA!$B$136/1000))),"")</f>
        <v/>
      </c>
    </row>
    <row r="41" spans="5:12" ht="16.5">
      <c r="E41" s="385"/>
      <c r="F41" s="198"/>
      <c r="G41" s="237"/>
      <c r="H41" s="120" t="str">
        <f>IFERROR((VLOOKUP(F41,Dades_PA!$A$77:$G$94,7,FALSE)),"")</f>
        <v/>
      </c>
      <c r="I41" s="140" t="str">
        <f>IFERROR(((VLOOKUP(F41,Dades_PA!$A$77:$G$94,2,FALSE))*G41),"")</f>
        <v/>
      </c>
      <c r="J41" s="141" t="str">
        <f>IFERROR(((VLOOKUP(F41,Dades_PA!$A$77:$G$94,3,FALSE))*G41)*1000,"")</f>
        <v/>
      </c>
      <c r="K41" s="141" t="str">
        <f>IFERROR(((VLOOKUP(F41,Dades_PA!$A$77:$G$94,4,FALSE))*G41)*1000,"")</f>
        <v/>
      </c>
      <c r="L41" s="142" t="str">
        <f>IFERROR(((I41+(J41*Dades_PA!$B$135/1000)+(K41*Dades_PA!$B$136/1000))),"")</f>
        <v/>
      </c>
    </row>
    <row r="42" spans="5:12" ht="16.5">
      <c r="E42" s="385"/>
      <c r="F42" s="198"/>
      <c r="G42" s="237"/>
      <c r="H42" s="120" t="str">
        <f>IFERROR((VLOOKUP(F42,Dades_PA!$A$77:$G$94,7,FALSE)),"")</f>
        <v/>
      </c>
      <c r="I42" s="140" t="str">
        <f>IFERROR(((VLOOKUP(F42,Dades_PA!$A$77:$G$94,2,FALSE))*G42),"")</f>
        <v/>
      </c>
      <c r="J42" s="141" t="str">
        <f>IFERROR(((VLOOKUP(F42,Dades_PA!$A$77:$G$94,3,FALSE))*G42)*1000,"")</f>
        <v/>
      </c>
      <c r="K42" s="141" t="str">
        <f>IFERROR(((VLOOKUP(F42,Dades_PA!$A$77:$G$94,4,FALSE))*G42)*1000,"")</f>
        <v/>
      </c>
      <c r="L42" s="142" t="str">
        <f>IFERROR(((I42+(J42*Dades_PA!$B$135/1000)+(K42*Dades_PA!$B$136/1000))),"")</f>
        <v/>
      </c>
    </row>
    <row r="43" spans="5:12" ht="16.5">
      <c r="E43" s="385"/>
      <c r="F43" s="198"/>
      <c r="G43" s="237"/>
      <c r="H43" s="120" t="str">
        <f>IFERROR((VLOOKUP(F43,Dades_PA!$A$77:$G$94,7,FALSE)),"")</f>
        <v/>
      </c>
      <c r="I43" s="140" t="str">
        <f>IFERROR(((VLOOKUP(F43,Dades_PA!$A$77:$G$94,2,FALSE))*G43),"")</f>
        <v/>
      </c>
      <c r="J43" s="141" t="str">
        <f>IFERROR(((VLOOKUP(F43,Dades_PA!$A$77:$G$94,3,FALSE))*G43)*1000,"")</f>
        <v/>
      </c>
      <c r="K43" s="141" t="str">
        <f>IFERROR(((VLOOKUP(F43,Dades_PA!$A$77:$G$94,4,FALSE))*G43)*1000,"")</f>
        <v/>
      </c>
      <c r="L43" s="142" t="str">
        <f>IFERROR(((I43+(J43*Dades_PA!$B$135/1000)+(K43*Dades_PA!$B$136/1000))),"")</f>
        <v/>
      </c>
    </row>
    <row r="44" spans="5:12" ht="16.5">
      <c r="E44" s="385"/>
      <c r="F44" s="198"/>
      <c r="G44" s="237"/>
      <c r="H44" s="120" t="str">
        <f>IFERROR((VLOOKUP(F44,Dades_PA!$A$77:$G$94,7,FALSE)),"")</f>
        <v/>
      </c>
      <c r="I44" s="140" t="str">
        <f>IFERROR(((VLOOKUP(F44,Dades_PA!$A$77:$G$94,2,FALSE))*G44),"")</f>
        <v/>
      </c>
      <c r="J44" s="141" t="str">
        <f>IFERROR(((VLOOKUP(F44,Dades_PA!$A$77:$G$94,3,FALSE))*G44)*1000,"")</f>
        <v/>
      </c>
      <c r="K44" s="141" t="str">
        <f>IFERROR(((VLOOKUP(F44,Dades_PA!$A$77:$G$94,4,FALSE))*G44)*1000,"")</f>
        <v/>
      </c>
      <c r="L44" s="142" t="str">
        <f>IFERROR(((I44+(J44*Dades_PA!$B$135/1000)+(K44*Dades_PA!$B$136/1000))),"")</f>
        <v/>
      </c>
    </row>
    <row r="45" spans="5:12" ht="16.5">
      <c r="E45" s="385"/>
      <c r="F45" s="198"/>
      <c r="G45" s="237"/>
      <c r="H45" s="120" t="str">
        <f>IFERROR((VLOOKUP(F45,Dades_PA!$A$77:$G$94,7,FALSE)),"")</f>
        <v/>
      </c>
      <c r="I45" s="140" t="str">
        <f>IFERROR(((VLOOKUP(F45,Dades_PA!$A$77:$G$94,2,FALSE))*G45),"")</f>
        <v/>
      </c>
      <c r="J45" s="141" t="str">
        <f>IFERROR(((VLOOKUP(F45,Dades_PA!$A$77:$G$94,3,FALSE))*G45)*1000,"")</f>
        <v/>
      </c>
      <c r="K45" s="141" t="str">
        <f>IFERROR(((VLOOKUP(F45,Dades_PA!$A$77:$G$94,4,FALSE))*G45)*1000,"")</f>
        <v/>
      </c>
      <c r="L45" s="142" t="str">
        <f>IFERROR(((I45+(J45*Dades_PA!$B$135/1000)+(K45*Dades_PA!$B$136/1000))),"")</f>
        <v/>
      </c>
    </row>
    <row r="46" spans="5:12" ht="16.5">
      <c r="E46" s="385"/>
      <c r="F46" s="198"/>
      <c r="G46" s="237"/>
      <c r="H46" s="120" t="str">
        <f>IFERROR((VLOOKUP(F46,Dades_PA!$A$77:$G$94,7,FALSE)),"")</f>
        <v/>
      </c>
      <c r="I46" s="140" t="str">
        <f>IFERROR(((VLOOKUP(F46,Dades_PA!$A$77:$G$94,2,FALSE))*G46),"")</f>
        <v/>
      </c>
      <c r="J46" s="141" t="str">
        <f>IFERROR(((VLOOKUP(F46,Dades_PA!$A$77:$G$94,3,FALSE))*G46)*1000,"")</f>
        <v/>
      </c>
      <c r="K46" s="141" t="str">
        <f>IFERROR(((VLOOKUP(F46,Dades_PA!$A$77:$G$94,4,FALSE))*G46)*1000,"")</f>
        <v/>
      </c>
      <c r="L46" s="142" t="str">
        <f>IFERROR(((I46+(J46*Dades_PA!$B$135/1000)+(K46*Dades_PA!$B$136/1000))),"")</f>
        <v/>
      </c>
    </row>
    <row r="47" spans="5:12" ht="16.5">
      <c r="E47" s="385"/>
      <c r="F47" s="198"/>
      <c r="G47" s="237"/>
      <c r="H47" s="120" t="str">
        <f>IFERROR((VLOOKUP(F47,Dades_PA!$A$77:$G$94,7,FALSE)),"")</f>
        <v/>
      </c>
      <c r="I47" s="140" t="str">
        <f>IFERROR(((VLOOKUP(F47,Dades_PA!$A$77:$G$94,2,FALSE))*G47),"")</f>
        <v/>
      </c>
      <c r="J47" s="141" t="str">
        <f>IFERROR(((VLOOKUP(F47,Dades_PA!$A$77:$G$94,3,FALSE))*G47)*1000,"")</f>
        <v/>
      </c>
      <c r="K47" s="141" t="str">
        <f>IFERROR(((VLOOKUP(F47,Dades_PA!$A$77:$G$94,4,FALSE))*G47)*1000,"")</f>
        <v/>
      </c>
      <c r="L47" s="142" t="str">
        <f>IFERROR(((I47+(J47*Dades_PA!$B$135/1000)+(K47*Dades_PA!$B$136/1000))),"")</f>
        <v/>
      </c>
    </row>
    <row r="48" spans="5:12" ht="16.5">
      <c r="E48" s="385"/>
      <c r="F48" s="198"/>
      <c r="G48" s="237"/>
      <c r="H48" s="120" t="str">
        <f>IFERROR((VLOOKUP(F48,Dades_PA!$A$77:$G$94,7,FALSE)),"")</f>
        <v/>
      </c>
      <c r="I48" s="140" t="str">
        <f>IFERROR(((VLOOKUP(F48,Dades_PA!$A$77:$G$94,2,FALSE))*G48),"")</f>
        <v/>
      </c>
      <c r="J48" s="141" t="str">
        <f>IFERROR(((VLOOKUP(F48,Dades_PA!$A$77:$G$94,3,FALSE))*G48)*1000,"")</f>
        <v/>
      </c>
      <c r="K48" s="141" t="str">
        <f>IFERROR(((VLOOKUP(F48,Dades_PA!$A$77:$G$94,4,FALSE))*G48)*1000,"")</f>
        <v/>
      </c>
      <c r="L48" s="142" t="str">
        <f>IFERROR(((I48+(J48*Dades_PA!$B$135/1000)+(K48*Dades_PA!$B$136/1000))),"")</f>
        <v/>
      </c>
    </row>
    <row r="49" spans="5:12" ht="17.25" thickBot="1">
      <c r="E49" s="386"/>
      <c r="F49" s="199"/>
      <c r="G49" s="238"/>
      <c r="H49" s="121" t="str">
        <f>IFERROR((VLOOKUP(F49,Dades_PA!$A$77:$G$94,7,FALSE)),"")</f>
        <v/>
      </c>
      <c r="I49" s="143" t="str">
        <f>IFERROR(((VLOOKUP(F49,Dades_PA!$A$77:$G$94,2,FALSE))*G49),"")</f>
        <v/>
      </c>
      <c r="J49" s="144" t="str">
        <f>IFERROR(((VLOOKUP(F49,Dades_PA!$A$77:$G$94,3,FALSE))*G49)*1000,"")</f>
        <v/>
      </c>
      <c r="K49" s="144" t="str">
        <f>IFERROR(((VLOOKUP(F49,Dades_PA!$A$77:$G$94,4,FALSE))*G49)*1000,"")</f>
        <v/>
      </c>
      <c r="L49" s="145" t="str">
        <f>IFERROR(((I49+(J49*Dades_PA!$B$135/1000)+(K49*Dades_PA!$B$136/1000))),"")</f>
        <v/>
      </c>
    </row>
    <row r="50" spans="5:12" ht="16.5">
      <c r="E50" s="384" t="str">
        <f>IF(('1. Dades generals del projecte'!D34)="","",('1. Dades generals del projecte'!D34))</f>
        <v/>
      </c>
      <c r="F50" s="197"/>
      <c r="G50" s="236"/>
      <c r="H50" s="119" t="str">
        <f>IFERROR((VLOOKUP(F50,Dades_PA!$A$77:$G$94,7,FALSE)),"")</f>
        <v/>
      </c>
      <c r="I50" s="137" t="str">
        <f>IFERROR(((VLOOKUP(F50,Dades_PA!$A$77:$G$94,2,FALSE))*G50),"")</f>
        <v/>
      </c>
      <c r="J50" s="138" t="str">
        <f>IFERROR(((VLOOKUP(F50,Dades_PA!$A$77:$G$94,3,FALSE))*G50)*1000,"")</f>
        <v/>
      </c>
      <c r="K50" s="138" t="str">
        <f>IFERROR(((VLOOKUP(F50,Dades_PA!$A$77:$G$94,4,FALSE))*G50)*1000,"")</f>
        <v/>
      </c>
      <c r="L50" s="139" t="str">
        <f>IFERROR(((I50+(J50*Dades_PA!$B$135/1000)+(K50*Dades_PA!$B$136/1000))),"")</f>
        <v/>
      </c>
    </row>
    <row r="51" spans="5:12" ht="16.5">
      <c r="E51" s="385"/>
      <c r="F51" s="198"/>
      <c r="G51" s="237"/>
      <c r="H51" s="120" t="str">
        <f>IFERROR((VLOOKUP(F51,Dades_PA!$A$77:$G$94,7,FALSE)),"")</f>
        <v/>
      </c>
      <c r="I51" s="140" t="str">
        <f>IFERROR(((VLOOKUP(F51,Dades_PA!$A$77:$G$94,2,FALSE))*G51),"")</f>
        <v/>
      </c>
      <c r="J51" s="141" t="str">
        <f>IFERROR(((VLOOKUP(F51,Dades_PA!$A$77:$G$94,3,FALSE))*G51)*1000,"")</f>
        <v/>
      </c>
      <c r="K51" s="141" t="str">
        <f>IFERROR(((VLOOKUP(F51,Dades_PA!$A$77:$G$94,4,FALSE))*G51)*1000,"")</f>
        <v/>
      </c>
      <c r="L51" s="142" t="str">
        <f>IFERROR(((I51+(J51*Dades_PA!$B$135/1000)+(K51*Dades_PA!$B$136/1000))),"")</f>
        <v/>
      </c>
    </row>
    <row r="52" spans="5:12" ht="16.5">
      <c r="E52" s="385"/>
      <c r="F52" s="198"/>
      <c r="G52" s="237"/>
      <c r="H52" s="120" t="str">
        <f>IFERROR((VLOOKUP(F52,Dades_PA!$A$77:$G$94,7,FALSE)),"")</f>
        <v/>
      </c>
      <c r="I52" s="140" t="str">
        <f>IFERROR(((VLOOKUP(F52,Dades_PA!$A$77:$G$94,2,FALSE))*G52),"")</f>
        <v/>
      </c>
      <c r="J52" s="141" t="str">
        <f>IFERROR(((VLOOKUP(F52,Dades_PA!$A$77:$G$94,3,FALSE))*G52)*1000,"")</f>
        <v/>
      </c>
      <c r="K52" s="141" t="str">
        <f>IFERROR(((VLOOKUP(F52,Dades_PA!$A$77:$G$94,4,FALSE))*G52)*1000,"")</f>
        <v/>
      </c>
      <c r="L52" s="142" t="str">
        <f>IFERROR(((I52+(J52*Dades_PA!$B$135/1000)+(K52*Dades_PA!$B$136/1000))),"")</f>
        <v/>
      </c>
    </row>
    <row r="53" spans="5:12" ht="16.5">
      <c r="E53" s="385"/>
      <c r="F53" s="198"/>
      <c r="G53" s="237"/>
      <c r="H53" s="120" t="str">
        <f>IFERROR((VLOOKUP(F53,Dades_PA!$A$77:$G$94,7,FALSE)),"")</f>
        <v/>
      </c>
      <c r="I53" s="140" t="str">
        <f>IFERROR(((VLOOKUP(F53,Dades_PA!$A$77:$G$94,2,FALSE))*G53),"")</f>
        <v/>
      </c>
      <c r="J53" s="141" t="str">
        <f>IFERROR(((VLOOKUP(F53,Dades_PA!$A$77:$G$94,3,FALSE))*G53)*1000,"")</f>
        <v/>
      </c>
      <c r="K53" s="141" t="str">
        <f>IFERROR(((VLOOKUP(F53,Dades_PA!$A$77:$G$94,4,FALSE))*G53)*1000,"")</f>
        <v/>
      </c>
      <c r="L53" s="142" t="str">
        <f>IFERROR(((I53+(J53*Dades_PA!$B$135/1000)+(K53*Dades_PA!$B$136/1000))),"")</f>
        <v/>
      </c>
    </row>
    <row r="54" spans="5:12" ht="16.5">
      <c r="E54" s="385"/>
      <c r="F54" s="198"/>
      <c r="G54" s="237"/>
      <c r="H54" s="120" t="str">
        <f>IFERROR((VLOOKUP(F54,Dades_PA!$A$77:$G$94,7,FALSE)),"")</f>
        <v/>
      </c>
      <c r="I54" s="140" t="str">
        <f>IFERROR(((VLOOKUP(F54,Dades_PA!$A$77:$G$94,2,FALSE))*G54),"")</f>
        <v/>
      </c>
      <c r="J54" s="141" t="str">
        <f>IFERROR(((VLOOKUP(F54,Dades_PA!$A$77:$G$94,3,FALSE))*G54)*1000,"")</f>
        <v/>
      </c>
      <c r="K54" s="141" t="str">
        <f>IFERROR(((VLOOKUP(F54,Dades_PA!$A$77:$G$94,4,FALSE))*G54)*1000,"")</f>
        <v/>
      </c>
      <c r="L54" s="142" t="str">
        <f>IFERROR(((I54+(J54*Dades_PA!$B$135/1000)+(K54*Dades_PA!$B$136/1000))),"")</f>
        <v/>
      </c>
    </row>
    <row r="55" spans="5:12" ht="16.5">
      <c r="E55" s="385"/>
      <c r="F55" s="198"/>
      <c r="G55" s="237"/>
      <c r="H55" s="120" t="str">
        <f>IFERROR((VLOOKUP(F55,Dades_PA!$A$77:$G$94,7,FALSE)),"")</f>
        <v/>
      </c>
      <c r="I55" s="140" t="str">
        <f>IFERROR(((VLOOKUP(F55,Dades_PA!$A$77:$G$94,2,FALSE))*G55),"")</f>
        <v/>
      </c>
      <c r="J55" s="141" t="str">
        <f>IFERROR(((VLOOKUP(F55,Dades_PA!$A$77:$G$94,3,FALSE))*G55)*1000,"")</f>
        <v/>
      </c>
      <c r="K55" s="141" t="str">
        <f>IFERROR(((VLOOKUP(F55,Dades_PA!$A$77:$G$94,4,FALSE))*G55)*1000,"")</f>
        <v/>
      </c>
      <c r="L55" s="142" t="str">
        <f>IFERROR(((I55+(J55*Dades_PA!$B$135/1000)+(K55*Dades_PA!$B$136/1000))),"")</f>
        <v/>
      </c>
    </row>
    <row r="56" spans="5:12" ht="16.5">
      <c r="E56" s="385"/>
      <c r="F56" s="198"/>
      <c r="G56" s="237"/>
      <c r="H56" s="120" t="str">
        <f>IFERROR((VLOOKUP(F56,Dades_PA!$A$77:$G$94,7,FALSE)),"")</f>
        <v/>
      </c>
      <c r="I56" s="140" t="str">
        <f>IFERROR(((VLOOKUP(F56,Dades_PA!$A$77:$G$94,2,FALSE))*G56),"")</f>
        <v/>
      </c>
      <c r="J56" s="141" t="str">
        <f>IFERROR(((VLOOKUP(F56,Dades_PA!$A$77:$G$94,3,FALSE))*G56)*1000,"")</f>
        <v/>
      </c>
      <c r="K56" s="141" t="str">
        <f>IFERROR(((VLOOKUP(F56,Dades_PA!$A$77:$G$94,4,FALSE))*G56)*1000,"")</f>
        <v/>
      </c>
      <c r="L56" s="142" t="str">
        <f>IFERROR(((I56+(J56*Dades_PA!$B$135/1000)+(K56*Dades_PA!$B$136/1000))),"")</f>
        <v/>
      </c>
    </row>
    <row r="57" spans="5:12" ht="16.5">
      <c r="E57" s="385"/>
      <c r="F57" s="198"/>
      <c r="G57" s="237"/>
      <c r="H57" s="120" t="str">
        <f>IFERROR((VLOOKUP(F57,Dades_PA!$A$77:$G$94,7,FALSE)),"")</f>
        <v/>
      </c>
      <c r="I57" s="140" t="str">
        <f>IFERROR(((VLOOKUP(F57,Dades_PA!$A$77:$G$94,2,FALSE))*G57),"")</f>
        <v/>
      </c>
      <c r="J57" s="141" t="str">
        <f>IFERROR(((VLOOKUP(F57,Dades_PA!$A$77:$G$94,3,FALSE))*G57)*1000,"")</f>
        <v/>
      </c>
      <c r="K57" s="141" t="str">
        <f>IFERROR(((VLOOKUP(F57,Dades_PA!$A$77:$G$94,4,FALSE))*G57)*1000,"")</f>
        <v/>
      </c>
      <c r="L57" s="142" t="str">
        <f>IFERROR(((I57+(J57*Dades_PA!$B$135/1000)+(K57*Dades_PA!$B$136/1000))),"")</f>
        <v/>
      </c>
    </row>
    <row r="58" spans="5:12" ht="16.5">
      <c r="E58" s="385"/>
      <c r="F58" s="198"/>
      <c r="G58" s="237"/>
      <c r="H58" s="120" t="str">
        <f>IFERROR((VLOOKUP(F58,Dades_PA!$A$77:$G$94,7,FALSE)),"")</f>
        <v/>
      </c>
      <c r="I58" s="140" t="str">
        <f>IFERROR(((VLOOKUP(F58,Dades_PA!$A$77:$G$94,2,FALSE))*G58),"")</f>
        <v/>
      </c>
      <c r="J58" s="141" t="str">
        <f>IFERROR(((VLOOKUP(F58,Dades_PA!$A$77:$G$94,3,FALSE))*G58)*1000,"")</f>
        <v/>
      </c>
      <c r="K58" s="141" t="str">
        <f>IFERROR(((VLOOKUP(F58,Dades_PA!$A$77:$G$94,4,FALSE))*G58)*1000,"")</f>
        <v/>
      </c>
      <c r="L58" s="142" t="str">
        <f>IFERROR(((I58+(J58*Dades_PA!$B$135/1000)+(K58*Dades_PA!$B$136/1000))),"")</f>
        <v/>
      </c>
    </row>
    <row r="59" spans="5:12" ht="17.25" thickBot="1">
      <c r="E59" s="386"/>
      <c r="F59" s="199"/>
      <c r="G59" s="238"/>
      <c r="H59" s="121" t="str">
        <f>IFERROR((VLOOKUP(F59,Dades_PA!$A$77:$G$94,7,FALSE)),"")</f>
        <v/>
      </c>
      <c r="I59" s="143" t="str">
        <f>IFERROR(((VLOOKUP(F59,Dades_PA!$A$77:$G$94,2,FALSE))*G59),"")</f>
        <v/>
      </c>
      <c r="J59" s="144" t="str">
        <f>IFERROR(((VLOOKUP(F59,Dades_PA!$A$77:$G$94,3,FALSE))*G59)*1000,"")</f>
        <v/>
      </c>
      <c r="K59" s="144" t="str">
        <f>IFERROR(((VLOOKUP(F59,Dades_PA!$A$77:$G$94,4,FALSE))*G59)*1000,"")</f>
        <v/>
      </c>
      <c r="L59" s="145" t="str">
        <f>IFERROR(((I59+(J59*Dades_PA!$B$135/1000)+(K59*Dades_PA!$B$136/1000))),"")</f>
        <v/>
      </c>
    </row>
    <row r="60" spans="5:12" ht="17.25" thickBot="1">
      <c r="E60" s="231" t="s">
        <v>15</v>
      </c>
      <c r="F60" s="232" t="s">
        <v>14</v>
      </c>
      <c r="G60" s="232" t="s">
        <v>14</v>
      </c>
      <c r="H60" s="232" t="s">
        <v>14</v>
      </c>
      <c r="I60" s="233">
        <f>SUM(I9:I59)</f>
        <v>0</v>
      </c>
      <c r="J60" s="233">
        <f t="shared" ref="J60:K60" si="0">SUM(J9:J59)</f>
        <v>0</v>
      </c>
      <c r="K60" s="233">
        <f t="shared" si="0"/>
        <v>0</v>
      </c>
      <c r="L60" s="234">
        <f>SUM(L9:L59)</f>
        <v>0</v>
      </c>
    </row>
    <row r="62" spans="5:12">
      <c r="E62" s="373" t="s">
        <v>214</v>
      </c>
      <c r="F62" s="374"/>
      <c r="G62" s="374"/>
      <c r="H62" s="374"/>
      <c r="I62" s="374"/>
      <c r="J62" s="374"/>
      <c r="K62" s="374"/>
      <c r="L62" s="375"/>
    </row>
    <row r="63" spans="5:12">
      <c r="E63" s="376"/>
      <c r="F63" s="377"/>
      <c r="G63" s="377"/>
      <c r="H63" s="377"/>
      <c r="I63" s="377"/>
      <c r="J63" s="377"/>
      <c r="K63" s="377"/>
      <c r="L63" s="378"/>
    </row>
    <row r="64" spans="5:12">
      <c r="E64" s="379"/>
      <c r="F64" s="380"/>
      <c r="G64" s="380"/>
      <c r="H64" s="380"/>
      <c r="I64" s="380"/>
      <c r="J64" s="380"/>
      <c r="K64" s="380"/>
      <c r="L64" s="381"/>
    </row>
  </sheetData>
  <sheetProtection sheet="1" objects="1" scenarios="1"/>
  <mergeCells count="15">
    <mergeCell ref="E62:L64"/>
    <mergeCell ref="C1:M1"/>
    <mergeCell ref="E3:L4"/>
    <mergeCell ref="E50:E59"/>
    <mergeCell ref="F7:F8"/>
    <mergeCell ref="I7:I8"/>
    <mergeCell ref="G7:H7"/>
    <mergeCell ref="E7:E8"/>
    <mergeCell ref="E9:E18"/>
    <mergeCell ref="E19:E28"/>
    <mergeCell ref="E29:E39"/>
    <mergeCell ref="E40:E49"/>
    <mergeCell ref="J7:J8"/>
    <mergeCell ref="K7:K8"/>
    <mergeCell ref="L7:L8"/>
  </mergeCells>
  <dataValidations count="1">
    <dataValidation type="list" allowBlank="1" showInputMessage="1" showErrorMessage="1" sqref="F9:F59">
      <formula1>Tractament</formula1>
    </dataValidation>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xmlns:xr="http://schemas.microsoft.com/office/spreadsheetml/2014/revision">
    <ext xmlns:x14="http://schemas.microsoft.com/office/spreadsheetml/2009/9/main" uri="{CCE6A557-97BC-4b89-ADB6-D9C93CAAB3DF}">
      <x14:dataValidations xmlns:xm="http://schemas.microsoft.com/office/excel/2006/main" count="8">
        <x14:dataValidation type="list" allowBlank="1" showInputMessage="1" showErrorMessage="1" xr:uid="{00000000-0002-0000-0400-000005000000}">
          <x14:formula1>
            <xm:f>#REF!</xm:f>
          </x14:formula1>
          <xm:sqref>#REF!</xm:sqref>
        </x14:dataValidation>
        <x14:dataValidation type="list" allowBlank="1" showInputMessage="1" showErrorMessage="1" xr:uid="{00000000-0002-0000-0400-000006000000}">
          <x14:formula1>
            <xm:f>#REF!</xm:f>
          </x14:formula1>
          <xm:sqref>#REF!</xm:sqref>
        </x14:dataValidation>
        <x14:dataValidation type="list" operator="equal" allowBlank="1" showInputMessage="1" showErrorMessage="1" xr:uid="{00000000-0002-0000-0400-000007000000}">
          <x14:formula1>
            <xm:f>INDIRECT("Comb_No_Carr_"&amp;(IFERROR(VLOOKUP(#REF!,#REF!,2,0),"")))</xm:f>
          </x14:formula1>
          <xm:sqref>#REF!</xm:sqref>
        </x14:dataValidation>
        <x14:dataValidation type="list" allowBlank="1" showInputMessage="1" showErrorMessage="1" xr:uid="{00000000-0002-0000-0400-000008000000}">
          <x14:formula1>
            <xm:f>#REF!</xm:f>
          </x14:formula1>
          <xm:sqref>#REF!</xm:sqref>
        </x14:dataValidation>
        <x14:dataValidation type="list" allowBlank="1" showInputMessage="1" showErrorMessage="1" xr:uid="{00000000-0002-0000-0400-000004000000}">
          <x14:formula1>
            <xm:f>#REF!</xm:f>
          </x14:formula1>
          <xm:sqref>#REF!</xm:sqref>
        </x14:dataValidation>
        <x14:dataValidation type="list" operator="equal" allowBlank="1" showInputMessage="1" showErrorMessage="1" xr:uid="{00000000-0002-0000-0400-000009000000}">
          <x14:formula1>
            <xm:f>INDIRECT("Comb_VehA2_"&amp;(IFERROR(VLOOKUP(#REF!,#REF!,2,0),""))&amp;"_2022")</xm:f>
          </x14:formula1>
          <xm:sqref>#REF!</xm:sqref>
        </x14:dataValidation>
        <x14:dataValidation type="list" operator="equal" allowBlank="1" showInputMessage="1" showErrorMessage="1" xr:uid="{00000000-0002-0000-0400-00000A000000}">
          <x14:formula1>
            <xm:f>INDIRECT("Comb_Veh_"&amp;(IFERROR(VLOOKUP(#REF!,#REF!,2,0),""))&amp;"_"&amp;#REF!)</xm:f>
          </x14:formula1>
          <xm:sqref>#REF!</xm:sqref>
        </x14:dataValidation>
        <x14:dataValidation type="list" operator="equal" allowBlank="1" showInputMessage="1" showErrorMessage="1" xr:uid="{00000000-0002-0000-0400-00000B000000}">
          <x14:formula1>
            <xm:f>INDIRECT("Comb_Maq_"&amp;(IFERROR(VLOOKUP(#REF!,#REF!,2,0),""))&amp;"_"&amp;#REF!)</xm:f>
          </x14:formula1>
          <xm:sqref>#REF!</xm:sqref>
        </x14:dataValidation>
      </x14:dataValidations>
    </ext>
  </extLst>
</worksheet>
</file>

<file path=xl/worksheets/sheet6.xml><?xml version="1.0" encoding="utf-8"?>
<worksheet xmlns="http://schemas.openxmlformats.org/spreadsheetml/2006/main" xmlns:r="http://schemas.openxmlformats.org/officeDocument/2006/relationships">
  <dimension ref="A1:AMJ106"/>
  <sheetViews>
    <sheetView zoomScale="70" zoomScaleNormal="70" workbookViewId="0">
      <pane xSplit="1" topLeftCell="B1" activePane="topRight" state="frozen"/>
      <selection activeCell="C1" sqref="C1:M1"/>
      <selection pane="topRight" activeCell="M53" sqref="M53"/>
    </sheetView>
  </sheetViews>
  <sheetFormatPr baseColWidth="10" defaultColWidth="9.140625" defaultRowHeight="15"/>
  <cols>
    <col min="1" max="1" width="55.7109375" style="58" customWidth="1"/>
    <col min="2" max="2" width="1.7109375" style="45" customWidth="1"/>
    <col min="3" max="3" width="1" style="45" customWidth="1"/>
    <col min="4" max="4" width="1.42578125" style="59" customWidth="1"/>
    <col min="5" max="5" width="21.85546875" style="59" customWidth="1"/>
    <col min="6" max="6" width="38.7109375" style="59" customWidth="1"/>
    <col min="7" max="7" width="22.140625" style="59" hidden="1" customWidth="1"/>
    <col min="8" max="8" width="15.140625" style="59" customWidth="1"/>
    <col min="9" max="9" width="16.7109375" style="59" customWidth="1"/>
    <col min="10" max="10" width="16.7109375" style="59" hidden="1" customWidth="1"/>
    <col min="11" max="11" width="16.85546875" style="59" customWidth="1"/>
    <col min="12" max="12" width="16.85546875" style="59" hidden="1" customWidth="1"/>
    <col min="13" max="13" width="17.5703125" style="59" customWidth="1"/>
    <col min="14" max="14" width="17.5703125" style="59" hidden="1" customWidth="1"/>
    <col min="15" max="15" width="25.7109375" style="59" customWidth="1"/>
    <col min="16" max="17" width="25.5703125" style="59" customWidth="1"/>
    <col min="18" max="18" width="25" style="59" customWidth="1"/>
    <col min="19" max="20" width="23.7109375" style="59" customWidth="1"/>
    <col min="21" max="21" width="25.7109375" style="59" customWidth="1"/>
    <col min="22" max="22" width="4.5703125" style="59" customWidth="1"/>
    <col min="23" max="1024" width="9.140625" style="59"/>
    <col min="1025" max="16384" width="9.140625" style="46"/>
  </cols>
  <sheetData>
    <row r="1" spans="1:22" ht="40.700000000000003" customHeight="1">
      <c r="B1" s="3"/>
      <c r="C1" s="260" t="s">
        <v>223</v>
      </c>
      <c r="D1" s="260"/>
      <c r="E1" s="260"/>
      <c r="F1" s="260"/>
      <c r="G1" s="260"/>
      <c r="H1" s="260"/>
      <c r="I1" s="260"/>
      <c r="J1" s="260"/>
      <c r="K1" s="260"/>
      <c r="L1" s="260"/>
      <c r="M1" s="260"/>
      <c r="N1" s="260"/>
      <c r="O1" s="260"/>
      <c r="P1" s="260"/>
      <c r="Q1" s="260"/>
      <c r="R1" s="260"/>
      <c r="S1" s="260"/>
      <c r="T1" s="260"/>
      <c r="U1" s="260"/>
      <c r="V1" s="260"/>
    </row>
    <row r="2" spans="1:22" ht="24" customHeight="1">
      <c r="B2" s="3"/>
    </row>
    <row r="3" spans="1:22" ht="16.5" customHeight="1">
      <c r="A3" s="5"/>
      <c r="B3" s="4"/>
      <c r="E3" s="368" t="s">
        <v>246</v>
      </c>
      <c r="F3" s="368"/>
      <c r="G3" s="368"/>
      <c r="H3" s="368"/>
      <c r="I3" s="368"/>
      <c r="J3" s="368"/>
      <c r="K3" s="368"/>
      <c r="L3" s="368"/>
      <c r="M3" s="368"/>
      <c r="N3" s="368"/>
      <c r="O3" s="368"/>
      <c r="P3" s="368"/>
      <c r="Q3" s="368"/>
      <c r="R3" s="368"/>
      <c r="S3" s="368"/>
      <c r="T3" s="368"/>
      <c r="U3" s="368"/>
      <c r="V3" s="368"/>
    </row>
    <row r="4" spans="1:22" ht="14.25" customHeight="1" thickBot="1">
      <c r="A4" s="166" t="s">
        <v>171</v>
      </c>
      <c r="B4" s="4"/>
      <c r="E4" s="171"/>
      <c r="F4" s="171"/>
      <c r="G4" s="171"/>
      <c r="H4" s="171"/>
      <c r="I4" s="171"/>
      <c r="J4" s="171"/>
      <c r="K4" s="171"/>
      <c r="L4" s="171"/>
      <c r="M4" s="171"/>
      <c r="N4" s="171"/>
      <c r="O4" s="171"/>
      <c r="P4" s="171"/>
      <c r="Q4" s="171"/>
      <c r="R4" s="171"/>
      <c r="S4" s="171"/>
      <c r="T4" s="171"/>
      <c r="U4" s="171"/>
    </row>
    <row r="5" spans="1:22" ht="16.5" customHeight="1">
      <c r="A5" s="166" t="s">
        <v>172</v>
      </c>
      <c r="E5" s="338" t="s">
        <v>200</v>
      </c>
      <c r="F5" s="335" t="s">
        <v>125</v>
      </c>
      <c r="G5" s="370" t="s">
        <v>122</v>
      </c>
      <c r="H5" s="335" t="s">
        <v>126</v>
      </c>
      <c r="I5" s="335" t="s">
        <v>128</v>
      </c>
      <c r="J5" s="370" t="s">
        <v>135</v>
      </c>
      <c r="K5" s="335" t="s">
        <v>129</v>
      </c>
      <c r="L5" s="370" t="s">
        <v>136</v>
      </c>
      <c r="M5" s="335" t="s">
        <v>130</v>
      </c>
      <c r="N5" s="370" t="s">
        <v>137</v>
      </c>
      <c r="O5" s="335" t="s">
        <v>247</v>
      </c>
      <c r="P5" s="335" t="s">
        <v>248</v>
      </c>
      <c r="Q5" s="335" t="s">
        <v>249</v>
      </c>
      <c r="R5" s="335" t="s">
        <v>250</v>
      </c>
      <c r="S5" s="335" t="s">
        <v>251</v>
      </c>
      <c r="T5" s="335" t="s">
        <v>252</v>
      </c>
      <c r="U5" s="342" t="s">
        <v>253</v>
      </c>
    </row>
    <row r="6" spans="1:22" s="61" customFormat="1" ht="22.5" customHeight="1" thickBot="1">
      <c r="A6" s="166" t="s">
        <v>219</v>
      </c>
      <c r="B6" s="45"/>
      <c r="C6" s="45"/>
      <c r="D6" s="59"/>
      <c r="E6" s="340"/>
      <c r="F6" s="369"/>
      <c r="G6" s="371"/>
      <c r="H6" s="369"/>
      <c r="I6" s="369"/>
      <c r="J6" s="371"/>
      <c r="K6" s="369"/>
      <c r="L6" s="371"/>
      <c r="M6" s="369"/>
      <c r="N6" s="371"/>
      <c r="O6" s="369"/>
      <c r="P6" s="369"/>
      <c r="Q6" s="369"/>
      <c r="R6" s="369"/>
      <c r="S6" s="369"/>
      <c r="T6" s="369"/>
      <c r="U6" s="372"/>
    </row>
    <row r="7" spans="1:22" ht="16.5" customHeight="1">
      <c r="A7" s="166" t="s">
        <v>173</v>
      </c>
      <c r="E7" s="395" t="str">
        <f>IF(('1. Dades generals del projecte'!D30)="","",('1. Dades generals del projecte'!D30))</f>
        <v/>
      </c>
      <c r="F7" s="194" t="str">
        <f>IF('2.1 Absorcions arbres'!E7=0,"",'2.1 Absorcions arbres'!E7)</f>
        <v/>
      </c>
      <c r="G7" s="209" t="str">
        <f>IF(('2.1 Absorcions arbres'!H7&gt;0),('2.1 Absorcions arbres'!H7),"")</f>
        <v/>
      </c>
      <c r="H7" s="210" t="str">
        <f>IF('2.2 Emissions restes tallada'!I14="","",'2.2 Emissions restes tallada'!I14)</f>
        <v/>
      </c>
      <c r="I7" s="105" t="str">
        <f>IF('2.2 Emissions restes tallada'!L14="Crema","Sí",(IF('2.2 Emissions restes tallada'!L14="Descomposició","No",(IF('2.2 Emissions restes tallada'!L14="Producte","No"," ")))))</f>
        <v xml:space="preserve"> </v>
      </c>
      <c r="J7" s="105" t="str">
        <f>CONCATENATE("Bb&lt;2iBf-",G7)</f>
        <v>Bb&lt;2iBf-</v>
      </c>
      <c r="K7" s="105" t="str">
        <f>IF('2.2 Emissions restes tallada'!N14="Crema","Sí",(IF('2.2 Emissions restes tallada'!N14="Descomposició","No",(IF('2.2 Emissions restes tallada'!N14="Producte","No"," ")))))</f>
        <v xml:space="preserve"> </v>
      </c>
      <c r="L7" s="105" t="str">
        <f>CONCATENATE("Bb&gt;2-",G7)</f>
        <v>Bb&gt;2-</v>
      </c>
      <c r="M7" s="105" t="str">
        <f>IF('2.2 Emissions restes tallada'!P14="Crema","Sí",(IF('2.2 Emissions restes tallada'!P14="Descomposició","No",(IF('2.2 Emissions restes tallada'!P14="Producte","No"," ")))))</f>
        <v xml:space="preserve"> </v>
      </c>
      <c r="N7" s="105" t="str">
        <f>CONCATENATE("Bt-",G7)</f>
        <v>Bt-</v>
      </c>
      <c r="O7" s="194" t="str">
        <f>IF(I7="No",0,IF(I7="Sí",((INDEX(Dades_PA!$B$101:$Y$127,(MATCH(F7,Dades_PA!$A$101:$A$127,0)),(MATCH(J7,Dades_PA!$B$100:$Y$100,0))))*((Dades_PA!$B$131))*H7*1000),""))</f>
        <v/>
      </c>
      <c r="P7" s="194" t="str">
        <f>IF(I7="No",0,IF(I7="Sí",((INDEX(Dades_PA!$B$101:$Y$127,(MATCH(F7,Dades_PA!$A$101:$A$127,0)),(MATCH(J7,Dades_PA!$B$100:$Y$100,0))))*((Dades_PA!$C$131))*H7*1000),""))</f>
        <v/>
      </c>
      <c r="Q7" s="194" t="str">
        <f>IF(K7="No",0,IF(K7="Sí",((INDEX(Dades_PA!$B$101:$Y$127,(MATCH(F7,Dades_PA!$A$101:$A$127,0)),(MATCH(L7,Dades_PA!$B$100:$Y$100,0))))*((Dades_PA!$B$131))*H7*1000),""))</f>
        <v/>
      </c>
      <c r="R7" s="194" t="str">
        <f>IF(K7="No",0,IF(K7="Sí",((INDEX(Dades_PA!$B$101:$Y$127,(MATCH(F7,Dades_PA!$A$101:$A$127,0)),(MATCH(L7,Dades_PA!$B$100:$Y$100,0))))*((Dades_PA!$C$131))*H7*1000),""))</f>
        <v/>
      </c>
      <c r="S7" s="194" t="str">
        <f>IF(M7="No",0,IF(M7="Sí",((INDEX(Dades_PA!$B$101:$Y$127,(MATCH(F7,Dades_PA!$A$101:$A$127,0)),(MATCH(N7,Dades_PA!$B$100:$Y$100,0))))*((Dades_PA!$B$131))*H7*1000),""))</f>
        <v/>
      </c>
      <c r="T7" s="194" t="str">
        <f>IF(M7="No",0,IF(M7="Sí",((INDEX(Dades_PA!$B$101:$Y$127,(MATCH(F7,Dades_PA!$A$101:$A$127,0)),(MATCH(N7,Dades_PA!$B$100:$Y$100,0))))*((Dades_PA!$C$131))*H7*1000),""))</f>
        <v/>
      </c>
      <c r="U7" s="211" t="str">
        <f>IFERROR(((((O7+Q7+S7)*Dades_PA!$B$135)+((P7+R7+T7)*Dades_PA!$B$136))/1000),"")</f>
        <v/>
      </c>
    </row>
    <row r="8" spans="1:22" ht="15.75" customHeight="1">
      <c r="A8" s="166" t="s">
        <v>220</v>
      </c>
      <c r="E8" s="396"/>
      <c r="F8" s="195" t="str">
        <f>IF('2.1 Absorcions arbres'!E8=0,"",'2.1 Absorcions arbres'!E8)</f>
        <v/>
      </c>
      <c r="G8" s="202" t="str">
        <f>$G$7</f>
        <v/>
      </c>
      <c r="H8" s="201" t="str">
        <f>IF('2.2 Emissions restes tallada'!I15="","",'2.2 Emissions restes tallada'!I15)</f>
        <v/>
      </c>
      <c r="I8" s="109" t="str">
        <f>IF('2.2 Emissions restes tallada'!L15="Crema","Sí",(IF('2.2 Emissions restes tallada'!L15="Descomposició","No",(IF('2.2 Emissions restes tallada'!L15="Producte","No"," ")))))</f>
        <v xml:space="preserve"> </v>
      </c>
      <c r="J8" s="109" t="str">
        <f t="shared" ref="J8:J56" si="0">CONCATENATE("Bb&lt;2iBf-",G8)</f>
        <v>Bb&lt;2iBf-</v>
      </c>
      <c r="K8" s="109" t="str">
        <f>IF('2.2 Emissions restes tallada'!N15="Crema","Sí",(IF('2.2 Emissions restes tallada'!N15="Descomposició","No",(IF('2.2 Emissions restes tallada'!N15="Producte","No"," ")))))</f>
        <v xml:space="preserve"> </v>
      </c>
      <c r="L8" s="109" t="str">
        <f t="shared" ref="L8:L56" si="1">CONCATENATE("Bb&gt;2-",G8)</f>
        <v>Bb&gt;2-</v>
      </c>
      <c r="M8" s="109" t="str">
        <f>IF('2.2 Emissions restes tallada'!P15="Crema","Sí",(IF('2.2 Emissions restes tallada'!P15="Descomposició","No",(IF('2.2 Emissions restes tallada'!P15="Producte","No"," ")))))</f>
        <v xml:space="preserve"> </v>
      </c>
      <c r="N8" s="109" t="str">
        <f t="shared" ref="N8:N56" si="2">CONCATENATE("Bt-",G8)</f>
        <v>Bt-</v>
      </c>
      <c r="O8" s="200" t="str">
        <f>IF(I8="No",0,IF(I8="Sí",((INDEX(Dades_PA!$B$101:$Y$127,(MATCH(F8,Dades_PA!$A$101:$A$127,0)),(MATCH(J8,Dades_PA!$B$100:$Y$100,0))))*((Dades_PA!$B$131))*H8*1000),""))</f>
        <v/>
      </c>
      <c r="P8" s="200" t="str">
        <f>IF(I8="No",0,IF(I8="Sí",((INDEX(Dades_PA!$B$101:$Y$127,(MATCH(F8,Dades_PA!$A$101:$A$127,0)),(MATCH(J8,Dades_PA!$B$100:$Y$100,0))))*((Dades_PA!$C$131))*H8*1000),""))</f>
        <v/>
      </c>
      <c r="Q8" s="200" t="str">
        <f>IF(K8="No",0,IF(K8="Sí",((INDEX(Dades_PA!$B$101:$Y$127,(MATCH(F8,Dades_PA!$A$101:$A$127,0)),(MATCH(L8,Dades_PA!$B$100:$Y$100,0))))*((Dades_PA!$B$131))*H8*1000),""))</f>
        <v/>
      </c>
      <c r="R8" s="200" t="str">
        <f>IF(K8="No",0,IF(K8="Sí",((INDEX(Dades_PA!$B$101:$Y$127,(MATCH(F8,Dades_PA!$A$101:$A$127,0)),(MATCH(L8,Dades_PA!$B$100:$Y$100,0))))*((Dades_PA!$C$131))*H8*1000),""))</f>
        <v/>
      </c>
      <c r="S8" s="200" t="str">
        <f>IF(M8="No",0,IF(M8="Sí",((INDEX(Dades_PA!$B$101:$Y$127,(MATCH(F8,Dades_PA!$A$101:$A$127,0)),(MATCH(N8,Dades_PA!$B$100:$Y$100,0))))*((Dades_PA!$B$131))*H8*1000),""))</f>
        <v/>
      </c>
      <c r="T8" s="200" t="str">
        <f>IF(M8="No",0,IF(M8="Sí",((INDEX(Dades_PA!$B$101:$Y$127,(MATCH(F8,Dades_PA!$A$101:$A$127,0)),(MATCH(N8,Dades_PA!$B$100:$Y$100,0))))*((Dades_PA!$C$131))*H8*1000),""))</f>
        <v/>
      </c>
      <c r="U8" s="203" t="str">
        <f>IFERROR(((((O8+Q8+S8)*Dades_PA!$B$135)+((P8+R8+T8)*Dades_PA!$B$136))/1000),"")</f>
        <v/>
      </c>
    </row>
    <row r="9" spans="1:22" ht="15.75" customHeight="1">
      <c r="A9" s="166" t="s">
        <v>174</v>
      </c>
      <c r="E9" s="396"/>
      <c r="F9" s="195" t="str">
        <f>IF('2.1 Absorcions arbres'!E9=0,"",'2.1 Absorcions arbres'!E9)</f>
        <v/>
      </c>
      <c r="G9" s="202" t="str">
        <f t="shared" ref="G9:G16" si="3">$G$7</f>
        <v/>
      </c>
      <c r="H9" s="201" t="str">
        <f>IF('2.2 Emissions restes tallada'!I16="","",'2.2 Emissions restes tallada'!I16)</f>
        <v/>
      </c>
      <c r="I9" s="109" t="str">
        <f>IF('2.2 Emissions restes tallada'!L16="Crema","Sí",(IF('2.2 Emissions restes tallada'!L16="Descomposició","No",(IF('2.2 Emissions restes tallada'!L16="Producte","No"," ")))))</f>
        <v xml:space="preserve"> </v>
      </c>
      <c r="J9" s="109" t="str">
        <f t="shared" si="0"/>
        <v>Bb&lt;2iBf-</v>
      </c>
      <c r="K9" s="109" t="str">
        <f>IF('2.2 Emissions restes tallada'!N16="Crema","Sí",(IF('2.2 Emissions restes tallada'!N16="Descomposició","No",(IF('2.2 Emissions restes tallada'!N16="Producte","No"," ")))))</f>
        <v xml:space="preserve"> </v>
      </c>
      <c r="L9" s="109" t="str">
        <f t="shared" si="1"/>
        <v>Bb&gt;2-</v>
      </c>
      <c r="M9" s="109" t="str">
        <f>IF('2.2 Emissions restes tallada'!P16="Crema","Sí",(IF('2.2 Emissions restes tallada'!P16="Descomposició","No",(IF('2.2 Emissions restes tallada'!P16="Producte","No"," ")))))</f>
        <v xml:space="preserve"> </v>
      </c>
      <c r="N9" s="109" t="str">
        <f t="shared" si="2"/>
        <v>Bt-</v>
      </c>
      <c r="O9" s="200" t="str">
        <f>IF(I9="No",0,IF(I9="Sí",((INDEX(Dades_PA!$B$101:$Y$127,(MATCH(F9,Dades_PA!$A$101:$A$127,0)),(MATCH(J9,Dades_PA!$B$100:$Y$100,0))))*((Dades_PA!$B$131))*H9*1000),""))</f>
        <v/>
      </c>
      <c r="P9" s="200" t="str">
        <f>IF(I9="No",0,IF(I9="Sí",((INDEX(Dades_PA!$B$101:$Y$127,(MATCH(F9,Dades_PA!$A$101:$A$127,0)),(MATCH(J9,Dades_PA!$B$100:$Y$100,0))))*((Dades_PA!$C$131))*H9*1000),""))</f>
        <v/>
      </c>
      <c r="Q9" s="200" t="str">
        <f>IF(K9="No",0,IF(K9="Sí",((INDEX(Dades_PA!$B$101:$Y$127,(MATCH(F9,Dades_PA!$A$101:$A$127,0)),(MATCH(L9,Dades_PA!$B$100:$Y$100,0))))*((Dades_PA!$B$131))*H9*1000),""))</f>
        <v/>
      </c>
      <c r="R9" s="200" t="str">
        <f>IF(K9="No",0,IF(K9="Sí",((INDEX(Dades_PA!$B$101:$Y$127,(MATCH(F9,Dades_PA!$A$101:$A$127,0)),(MATCH(L9,Dades_PA!$B$100:$Y$100,0))))*((Dades_PA!$C$131))*H9*1000),""))</f>
        <v/>
      </c>
      <c r="S9" s="200" t="str">
        <f>IF(M9="No",0,IF(M9="Sí",((INDEX(Dades_PA!$B$101:$Y$127,(MATCH(F9,Dades_PA!$A$101:$A$127,0)),(MATCH(N9,Dades_PA!$B$100:$Y$100,0))))*((Dades_PA!$B$131))*H9*1000),""))</f>
        <v/>
      </c>
      <c r="T9" s="200" t="str">
        <f>IF(M9="No",0,IF(M9="Sí",((INDEX(Dades_PA!$B$101:$Y$127,(MATCH(F9,Dades_PA!$A$101:$A$127,0)),(MATCH(N9,Dades_PA!$B$100:$Y$100,0))))*((Dades_PA!$C$131))*H9*1000),""))</f>
        <v/>
      </c>
      <c r="U9" s="203" t="str">
        <f>IFERROR(((((O9+Q9+S9)*Dades_PA!$B$135)+((P9+R9+T9)*Dades_PA!$B$136))/1000),"")</f>
        <v/>
      </c>
    </row>
    <row r="10" spans="1:22" ht="15.75" customHeight="1">
      <c r="A10" s="166" t="s">
        <v>175</v>
      </c>
      <c r="E10" s="396"/>
      <c r="F10" s="195" t="str">
        <f>IF('2.1 Absorcions arbres'!E10=0,"",'2.1 Absorcions arbres'!E10)</f>
        <v/>
      </c>
      <c r="G10" s="202" t="str">
        <f t="shared" si="3"/>
        <v/>
      </c>
      <c r="H10" s="201" t="str">
        <f>IF('2.2 Emissions restes tallada'!I17="","",'2.2 Emissions restes tallada'!I17)</f>
        <v/>
      </c>
      <c r="I10" s="109" t="str">
        <f>IF('2.2 Emissions restes tallada'!L17="Crema","Sí",(IF('2.2 Emissions restes tallada'!L17="Descomposició","No",(IF('2.2 Emissions restes tallada'!L17="Producte","No"," ")))))</f>
        <v xml:space="preserve"> </v>
      </c>
      <c r="J10" s="109" t="str">
        <f t="shared" si="0"/>
        <v>Bb&lt;2iBf-</v>
      </c>
      <c r="K10" s="109" t="str">
        <f>IF('2.2 Emissions restes tallada'!N17="Crema","Sí",(IF('2.2 Emissions restes tallada'!N17="Descomposició","No",(IF('2.2 Emissions restes tallada'!N17="Producte","No"," ")))))</f>
        <v xml:space="preserve"> </v>
      </c>
      <c r="L10" s="109" t="str">
        <f t="shared" si="1"/>
        <v>Bb&gt;2-</v>
      </c>
      <c r="M10" s="109" t="str">
        <f>IF('2.2 Emissions restes tallada'!P17="Crema","Sí",(IF('2.2 Emissions restes tallada'!P17="Descomposició","No",(IF('2.2 Emissions restes tallada'!P17="Producte","No"," ")))))</f>
        <v xml:space="preserve"> </v>
      </c>
      <c r="N10" s="109" t="str">
        <f t="shared" si="2"/>
        <v>Bt-</v>
      </c>
      <c r="O10" s="200" t="str">
        <f>IF(I10="No",0,IF(I10="Sí",((INDEX(Dades_PA!$B$101:$Y$127,(MATCH(F10,Dades_PA!$A$101:$A$127,0)),(MATCH(J10,Dades_PA!$B$100:$Y$100,0))))*((Dades_PA!$B$131))*H10*1000),""))</f>
        <v/>
      </c>
      <c r="P10" s="200" t="str">
        <f>IF(I10="No",0,IF(I10="Sí",((INDEX(Dades_PA!$B$101:$Y$127,(MATCH(F10,Dades_PA!$A$101:$A$127,0)),(MATCH(J10,Dades_PA!$B$100:$Y$100,0))))*((Dades_PA!$C$131))*H10*1000),""))</f>
        <v/>
      </c>
      <c r="Q10" s="200" t="str">
        <f>IF(K10="No",0,IF(K10="Sí",((INDEX(Dades_PA!$B$101:$Y$127,(MATCH(F10,Dades_PA!$A$101:$A$127,0)),(MATCH(L10,Dades_PA!$B$100:$Y$100,0))))*((Dades_PA!$B$131))*H10*1000),""))</f>
        <v/>
      </c>
      <c r="R10" s="200" t="str">
        <f>IF(K10="No",0,IF(K10="Sí",((INDEX(Dades_PA!$B$101:$Y$127,(MATCH(F10,Dades_PA!$A$101:$A$127,0)),(MATCH(L10,Dades_PA!$B$100:$Y$100,0))))*((Dades_PA!$C$131))*H10*1000),""))</f>
        <v/>
      </c>
      <c r="S10" s="200" t="str">
        <f>IF(M10="No",0,IF(M10="Sí",((INDEX(Dades_PA!$B$101:$Y$127,(MATCH(F10,Dades_PA!$A$101:$A$127,0)),(MATCH(N10,Dades_PA!$B$100:$Y$100,0))))*((Dades_PA!$B$131))*H10*1000),""))</f>
        <v/>
      </c>
      <c r="T10" s="200" t="str">
        <f>IF(M10="No",0,IF(M10="Sí",((INDEX(Dades_PA!$B$101:$Y$127,(MATCH(F10,Dades_PA!$A$101:$A$127,0)),(MATCH(N10,Dades_PA!$B$100:$Y$100,0))))*((Dades_PA!$C$131))*H10*1000),""))</f>
        <v/>
      </c>
      <c r="U10" s="203" t="str">
        <f>IFERROR(((((O10+Q10+S10)*Dades_PA!$B$135)+((P10+R10+T10)*Dades_PA!$B$136))/1000),"")</f>
        <v/>
      </c>
    </row>
    <row r="11" spans="1:22" ht="15.75" customHeight="1">
      <c r="E11" s="396"/>
      <c r="F11" s="195" t="str">
        <f>IF('2.1 Absorcions arbres'!E11=0,"",'2.1 Absorcions arbres'!E11)</f>
        <v/>
      </c>
      <c r="G11" s="202" t="str">
        <f t="shared" si="3"/>
        <v/>
      </c>
      <c r="H11" s="201" t="str">
        <f>IF('2.2 Emissions restes tallada'!I18="","",'2.2 Emissions restes tallada'!I18)</f>
        <v/>
      </c>
      <c r="I11" s="109" t="str">
        <f>IF('2.2 Emissions restes tallada'!L18="Crema","Sí",(IF('2.2 Emissions restes tallada'!L18="Descomposició","No",(IF('2.2 Emissions restes tallada'!L18="Producte","No"," ")))))</f>
        <v xml:space="preserve"> </v>
      </c>
      <c r="J11" s="109" t="str">
        <f t="shared" si="0"/>
        <v>Bb&lt;2iBf-</v>
      </c>
      <c r="K11" s="109" t="str">
        <f>IF('2.2 Emissions restes tallada'!N18="Crema","Sí",(IF('2.2 Emissions restes tallada'!N18="Descomposició","No",(IF('2.2 Emissions restes tallada'!N18="Producte","No"," ")))))</f>
        <v xml:space="preserve"> </v>
      </c>
      <c r="L11" s="109" t="str">
        <f t="shared" si="1"/>
        <v>Bb&gt;2-</v>
      </c>
      <c r="M11" s="109" t="str">
        <f>IF('2.2 Emissions restes tallada'!P18="Crema","Sí",(IF('2.2 Emissions restes tallada'!P18="Descomposició","No",(IF('2.2 Emissions restes tallada'!P18="Producte","No"," ")))))</f>
        <v xml:space="preserve"> </v>
      </c>
      <c r="N11" s="109" t="str">
        <f t="shared" si="2"/>
        <v>Bt-</v>
      </c>
      <c r="O11" s="200" t="str">
        <f>IF(I11="No",0,IF(I11="Sí",((INDEX(Dades_PA!$B$101:$Y$127,(MATCH(F11,Dades_PA!$A$101:$A$127,0)),(MATCH(J11,Dades_PA!$B$100:$Y$100,0))))*((Dades_PA!$B$131))*H11*1000),""))</f>
        <v/>
      </c>
      <c r="P11" s="200" t="str">
        <f>IF(I11="No",0,IF(I11="Sí",((INDEX(Dades_PA!$B$101:$Y$127,(MATCH(F11,Dades_PA!$A$101:$A$127,0)),(MATCH(J11,Dades_PA!$B$100:$Y$100,0))))*((Dades_PA!$C$131))*H11*1000),""))</f>
        <v/>
      </c>
      <c r="Q11" s="200" t="str">
        <f>IF(K11="No",0,IF(K11="Sí",((INDEX(Dades_PA!$B$101:$Y$127,(MATCH(F11,Dades_PA!$A$101:$A$127,0)),(MATCH(L11,Dades_PA!$B$100:$Y$100,0))))*((Dades_PA!$B$131))*H11*1000),""))</f>
        <v/>
      </c>
      <c r="R11" s="200" t="str">
        <f>IF(K11="No",0,IF(K11="Sí",((INDEX(Dades_PA!$B$101:$Y$127,(MATCH(F11,Dades_PA!$A$101:$A$127,0)),(MATCH(L11,Dades_PA!$B$100:$Y$100,0))))*((Dades_PA!$C$131))*H11*1000),""))</f>
        <v/>
      </c>
      <c r="S11" s="200" t="str">
        <f>IF(M11="No",0,IF(M11="Sí",((INDEX(Dades_PA!$B$101:$Y$127,(MATCH(F11,Dades_PA!$A$101:$A$127,0)),(MATCH(N11,Dades_PA!$B$100:$Y$100,0))))*((Dades_PA!$B$131))*H11*1000),""))</f>
        <v/>
      </c>
      <c r="T11" s="200" t="str">
        <f>IF(M11="No",0,IF(M11="Sí",((INDEX(Dades_PA!$B$101:$Y$127,(MATCH(F11,Dades_PA!$A$101:$A$127,0)),(MATCH(N11,Dades_PA!$B$100:$Y$100,0))))*((Dades_PA!$C$131))*H11*1000),""))</f>
        <v/>
      </c>
      <c r="U11" s="203" t="str">
        <f>IFERROR(((((O11+Q11+S11)*Dades_PA!$B$135)+((P11+R11+T11)*Dades_PA!$B$136))/1000),"")</f>
        <v/>
      </c>
    </row>
    <row r="12" spans="1:22" ht="15.75" customHeight="1">
      <c r="E12" s="396"/>
      <c r="F12" s="195" t="str">
        <f>IF('2.1 Absorcions arbres'!E12=0,"",'2.1 Absorcions arbres'!E12)</f>
        <v/>
      </c>
      <c r="G12" s="202" t="str">
        <f t="shared" si="3"/>
        <v/>
      </c>
      <c r="H12" s="201" t="str">
        <f>IF('2.2 Emissions restes tallada'!I19="","",'2.2 Emissions restes tallada'!I19)</f>
        <v/>
      </c>
      <c r="I12" s="109" t="str">
        <f>IF('2.2 Emissions restes tallada'!L19="Crema","Sí",(IF('2.2 Emissions restes tallada'!L19="Descomposició","No",(IF('2.2 Emissions restes tallada'!L19="Producte","No"," ")))))</f>
        <v xml:space="preserve"> </v>
      </c>
      <c r="J12" s="109" t="str">
        <f t="shared" si="0"/>
        <v>Bb&lt;2iBf-</v>
      </c>
      <c r="K12" s="109" t="str">
        <f>IF('2.2 Emissions restes tallada'!N19="Crema","Sí",(IF('2.2 Emissions restes tallada'!N19="Descomposició","No",(IF('2.2 Emissions restes tallada'!N19="Producte","No"," ")))))</f>
        <v xml:space="preserve"> </v>
      </c>
      <c r="L12" s="109" t="str">
        <f t="shared" si="1"/>
        <v>Bb&gt;2-</v>
      </c>
      <c r="M12" s="109" t="str">
        <f>IF('2.2 Emissions restes tallada'!P19="Crema","Sí",(IF('2.2 Emissions restes tallada'!P19="Descomposició","No",(IF('2.2 Emissions restes tallada'!P19="Producte","No"," ")))))</f>
        <v xml:space="preserve"> </v>
      </c>
      <c r="N12" s="109" t="str">
        <f t="shared" si="2"/>
        <v>Bt-</v>
      </c>
      <c r="O12" s="200" t="str">
        <f>IF(I12="No",0,IF(I12="Sí",((INDEX(Dades_PA!$B$101:$Y$127,(MATCH(F12,Dades_PA!$A$101:$A$127,0)),(MATCH(J12,Dades_PA!$B$100:$Y$100,0))))*((Dades_PA!$B$131))*H12*1000),""))</f>
        <v/>
      </c>
      <c r="P12" s="200" t="str">
        <f>IF(I12="No",0,IF(I12="Sí",((INDEX(Dades_PA!$B$101:$Y$127,(MATCH(F12,Dades_PA!$A$101:$A$127,0)),(MATCH(J12,Dades_PA!$B$100:$Y$100,0))))*((Dades_PA!$C$131))*H12*1000),""))</f>
        <v/>
      </c>
      <c r="Q12" s="200" t="str">
        <f>IF(K12="No",0,IF(K12="Sí",((INDEX(Dades_PA!$B$101:$Y$127,(MATCH(F12,Dades_PA!$A$101:$A$127,0)),(MATCH(L12,Dades_PA!$B$100:$Y$100,0))))*((Dades_PA!$B$131))*H12*1000),""))</f>
        <v/>
      </c>
      <c r="R12" s="200" t="str">
        <f>IF(K12="No",0,IF(K12="Sí",((INDEX(Dades_PA!$B$101:$Y$127,(MATCH(F12,Dades_PA!$A$101:$A$127,0)),(MATCH(L12,Dades_PA!$B$100:$Y$100,0))))*((Dades_PA!$C$131))*H12*1000),""))</f>
        <v/>
      </c>
      <c r="S12" s="200" t="str">
        <f>IF(M12="No",0,IF(M12="Sí",((INDEX(Dades_PA!$B$101:$Y$127,(MATCH(F12,Dades_PA!$A$101:$A$127,0)),(MATCH(N12,Dades_PA!$B$100:$Y$100,0))))*((Dades_PA!$B$131))*H12*1000),""))</f>
        <v/>
      </c>
      <c r="T12" s="200" t="str">
        <f>IF(M12="No",0,IF(M12="Sí",((INDEX(Dades_PA!$B$101:$Y$127,(MATCH(F12,Dades_PA!$A$101:$A$127,0)),(MATCH(N12,Dades_PA!$B$100:$Y$100,0))))*((Dades_PA!$C$131))*H12*1000),""))</f>
        <v/>
      </c>
      <c r="U12" s="203" t="str">
        <f>IFERROR(((((O12+Q12+S12)*Dades_PA!$B$135)+((P12+R12+T12)*Dades_PA!$B$136))/1000),"")</f>
        <v/>
      </c>
    </row>
    <row r="13" spans="1:22" ht="15.75" customHeight="1">
      <c r="E13" s="396"/>
      <c r="F13" s="195" t="str">
        <f>IF('2.1 Absorcions arbres'!E13=0,"",'2.1 Absorcions arbres'!E13)</f>
        <v/>
      </c>
      <c r="G13" s="202" t="str">
        <f t="shared" si="3"/>
        <v/>
      </c>
      <c r="H13" s="201" t="str">
        <f>IF('2.2 Emissions restes tallada'!I20="","",'2.2 Emissions restes tallada'!I20)</f>
        <v/>
      </c>
      <c r="I13" s="109" t="str">
        <f>IF('2.2 Emissions restes tallada'!L20="Crema","Sí",(IF('2.2 Emissions restes tallada'!L20="Descomposició","No",(IF('2.2 Emissions restes tallada'!L20="Producte","No"," ")))))</f>
        <v xml:space="preserve"> </v>
      </c>
      <c r="J13" s="109" t="str">
        <f t="shared" si="0"/>
        <v>Bb&lt;2iBf-</v>
      </c>
      <c r="K13" s="109" t="str">
        <f>IF('2.2 Emissions restes tallada'!N20="Crema","Sí",(IF('2.2 Emissions restes tallada'!N20="Descomposició","No",(IF('2.2 Emissions restes tallada'!N20="Producte","No"," ")))))</f>
        <v xml:space="preserve"> </v>
      </c>
      <c r="L13" s="109" t="str">
        <f t="shared" si="1"/>
        <v>Bb&gt;2-</v>
      </c>
      <c r="M13" s="109" t="str">
        <f>IF('2.2 Emissions restes tallada'!P20="Crema","Sí",(IF('2.2 Emissions restes tallada'!P20="Descomposició","No",(IF('2.2 Emissions restes tallada'!P20="Producte","No"," ")))))</f>
        <v xml:space="preserve"> </v>
      </c>
      <c r="N13" s="109" t="str">
        <f t="shared" si="2"/>
        <v>Bt-</v>
      </c>
      <c r="O13" s="200" t="str">
        <f>IF(I13="No",0,IF(I13="Sí",((INDEX(Dades_PA!$B$101:$Y$127,(MATCH(F13,Dades_PA!$A$101:$A$127,0)),(MATCH(J13,Dades_PA!$B$100:$Y$100,0))))*((Dades_PA!$B$131))*H13*1000),""))</f>
        <v/>
      </c>
      <c r="P13" s="200" t="str">
        <f>IF(I13="No",0,IF(I13="Sí",((INDEX(Dades_PA!$B$101:$Y$127,(MATCH(F13,Dades_PA!$A$101:$A$127,0)),(MATCH(J13,Dades_PA!$B$100:$Y$100,0))))*((Dades_PA!$C$131))*H13*1000),""))</f>
        <v/>
      </c>
      <c r="Q13" s="200" t="str">
        <f>IF(K13="No",0,IF(K13="Sí",((INDEX(Dades_PA!$B$101:$Y$127,(MATCH(F13,Dades_PA!$A$101:$A$127,0)),(MATCH(L13,Dades_PA!$B$100:$Y$100,0))))*((Dades_PA!$B$131))*H13*1000),""))</f>
        <v/>
      </c>
      <c r="R13" s="200" t="str">
        <f>IF(K13="No",0,IF(K13="Sí",((INDEX(Dades_PA!$B$101:$Y$127,(MATCH(F13,Dades_PA!$A$101:$A$127,0)),(MATCH(L13,Dades_PA!$B$100:$Y$100,0))))*((Dades_PA!$C$131))*H13*1000),""))</f>
        <v/>
      </c>
      <c r="S13" s="200" t="str">
        <f>IF(M13="No",0,IF(M13="Sí",((INDEX(Dades_PA!$B$101:$Y$127,(MATCH(F13,Dades_PA!$A$101:$A$127,0)),(MATCH(N13,Dades_PA!$B$100:$Y$100,0))))*((Dades_PA!$B$131))*H13*1000),""))</f>
        <v/>
      </c>
      <c r="T13" s="200" t="str">
        <f>IF(M13="No",0,IF(M13="Sí",((INDEX(Dades_PA!$B$101:$Y$127,(MATCH(F13,Dades_PA!$A$101:$A$127,0)),(MATCH(N13,Dades_PA!$B$100:$Y$100,0))))*((Dades_PA!$C$131))*H13*1000),""))</f>
        <v/>
      </c>
      <c r="U13" s="203" t="str">
        <f>IFERROR(((((O13+Q13+S13)*Dades_PA!$B$135)+((P13+R13+T13)*Dades_PA!$B$136))/1000),"")</f>
        <v/>
      </c>
    </row>
    <row r="14" spans="1:22" ht="15.75" customHeight="1">
      <c r="E14" s="396"/>
      <c r="F14" s="195" t="str">
        <f>IF('2.1 Absorcions arbres'!E14=0,"",'2.1 Absorcions arbres'!E14)</f>
        <v/>
      </c>
      <c r="G14" s="202" t="str">
        <f t="shared" si="3"/>
        <v/>
      </c>
      <c r="H14" s="201" t="str">
        <f>IF('2.2 Emissions restes tallada'!I21="","",'2.2 Emissions restes tallada'!I21)</f>
        <v/>
      </c>
      <c r="I14" s="109" t="str">
        <f>IF('2.2 Emissions restes tallada'!L21="Crema","Sí",(IF('2.2 Emissions restes tallada'!L21="Descomposició","No",(IF('2.2 Emissions restes tallada'!L21="Producte","No"," ")))))</f>
        <v xml:space="preserve"> </v>
      </c>
      <c r="J14" s="109" t="str">
        <f t="shared" si="0"/>
        <v>Bb&lt;2iBf-</v>
      </c>
      <c r="K14" s="109" t="str">
        <f>IF('2.2 Emissions restes tallada'!N21="Crema","Sí",(IF('2.2 Emissions restes tallada'!N21="Descomposició","No",(IF('2.2 Emissions restes tallada'!N21="Producte","No"," ")))))</f>
        <v xml:space="preserve"> </v>
      </c>
      <c r="L14" s="109" t="str">
        <f t="shared" si="1"/>
        <v>Bb&gt;2-</v>
      </c>
      <c r="M14" s="109" t="str">
        <f>IF('2.2 Emissions restes tallada'!P21="Crema","Sí",(IF('2.2 Emissions restes tallada'!P21="Descomposició","No",(IF('2.2 Emissions restes tallada'!P21="Producte","No"," ")))))</f>
        <v xml:space="preserve"> </v>
      </c>
      <c r="N14" s="109" t="str">
        <f t="shared" si="2"/>
        <v>Bt-</v>
      </c>
      <c r="O14" s="200" t="str">
        <f>IF(I14="No",0,IF(I14="Sí",((INDEX(Dades_PA!$B$101:$Y$127,(MATCH(F14,Dades_PA!$A$101:$A$127,0)),(MATCH(J14,Dades_PA!$B$100:$Y$100,0))))*((Dades_PA!$B$131))*H14*1000),""))</f>
        <v/>
      </c>
      <c r="P14" s="200" t="str">
        <f>IF(I14="No",0,IF(I14="Sí",((INDEX(Dades_PA!$B$101:$Y$127,(MATCH(F14,Dades_PA!$A$101:$A$127,0)),(MATCH(J14,Dades_PA!$B$100:$Y$100,0))))*((Dades_PA!$C$131))*H14*1000),""))</f>
        <v/>
      </c>
      <c r="Q14" s="200" t="str">
        <f>IF(K14="No",0,IF(K14="Sí",((INDEX(Dades_PA!$B$101:$Y$127,(MATCH(F14,Dades_PA!$A$101:$A$127,0)),(MATCH(L14,Dades_PA!$B$100:$Y$100,0))))*((Dades_PA!$B$131))*H14*1000),""))</f>
        <v/>
      </c>
      <c r="R14" s="200" t="str">
        <f>IF(K14="No",0,IF(K14="Sí",((INDEX(Dades_PA!$B$101:$Y$127,(MATCH(F14,Dades_PA!$A$101:$A$127,0)),(MATCH(L14,Dades_PA!$B$100:$Y$100,0))))*((Dades_PA!$C$131))*H14*1000),""))</f>
        <v/>
      </c>
      <c r="S14" s="200" t="str">
        <f>IF(M14="No",0,IF(M14="Sí",((INDEX(Dades_PA!$B$101:$Y$127,(MATCH(F14,Dades_PA!$A$101:$A$127,0)),(MATCH(N14,Dades_PA!$B$100:$Y$100,0))))*((Dades_PA!$B$131))*H14*1000),""))</f>
        <v/>
      </c>
      <c r="T14" s="200" t="str">
        <f>IF(M14="No",0,IF(M14="Sí",((INDEX(Dades_PA!$B$101:$Y$127,(MATCH(F14,Dades_PA!$A$101:$A$127,0)),(MATCH(N14,Dades_PA!$B$100:$Y$100,0))))*((Dades_PA!$C$131))*H14*1000),""))</f>
        <v/>
      </c>
      <c r="U14" s="203" t="str">
        <f>IFERROR(((((O14+Q14+S14)*Dades_PA!$B$135)+((P14+R14+T14)*Dades_PA!$B$136))/1000),"")</f>
        <v/>
      </c>
    </row>
    <row r="15" spans="1:22" ht="15.75" customHeight="1">
      <c r="E15" s="396"/>
      <c r="F15" s="195" t="str">
        <f>IF('2.1 Absorcions arbres'!E15=0,"",'2.1 Absorcions arbres'!E15)</f>
        <v/>
      </c>
      <c r="G15" s="202" t="str">
        <f t="shared" si="3"/>
        <v/>
      </c>
      <c r="H15" s="201" t="str">
        <f>IF('2.2 Emissions restes tallada'!I22="","",'2.2 Emissions restes tallada'!I22)</f>
        <v/>
      </c>
      <c r="I15" s="109" t="str">
        <f>IF('2.2 Emissions restes tallada'!L22="Crema","Sí",(IF('2.2 Emissions restes tallada'!L22="Descomposició","No",(IF('2.2 Emissions restes tallada'!L22="Producte","No"," ")))))</f>
        <v xml:space="preserve"> </v>
      </c>
      <c r="J15" s="109" t="str">
        <f t="shared" si="0"/>
        <v>Bb&lt;2iBf-</v>
      </c>
      <c r="K15" s="109" t="str">
        <f>IF('2.2 Emissions restes tallada'!N22="Crema","Sí",(IF('2.2 Emissions restes tallada'!N22="Descomposició","No",(IF('2.2 Emissions restes tallada'!N22="Producte","No"," ")))))</f>
        <v xml:space="preserve"> </v>
      </c>
      <c r="L15" s="109" t="str">
        <f t="shared" si="1"/>
        <v>Bb&gt;2-</v>
      </c>
      <c r="M15" s="109" t="str">
        <f>IF('2.2 Emissions restes tallada'!P22="Crema","Sí",(IF('2.2 Emissions restes tallada'!P22="Descomposició","No",(IF('2.2 Emissions restes tallada'!P22="Producte","No"," ")))))</f>
        <v xml:space="preserve"> </v>
      </c>
      <c r="N15" s="109" t="str">
        <f t="shared" si="2"/>
        <v>Bt-</v>
      </c>
      <c r="O15" s="200" t="str">
        <f>IF(I15="No",0,IF(I15="Sí",((INDEX(Dades_PA!$B$101:$Y$127,(MATCH(F15,Dades_PA!$A$101:$A$127,0)),(MATCH(J15,Dades_PA!$B$100:$Y$100,0))))*((Dades_PA!$B$131))*H15*1000),""))</f>
        <v/>
      </c>
      <c r="P15" s="200" t="str">
        <f>IF(I15="No",0,IF(I15="Sí",((INDEX(Dades_PA!$B$101:$Y$127,(MATCH(F15,Dades_PA!$A$101:$A$127,0)),(MATCH(J15,Dades_PA!$B$100:$Y$100,0))))*((Dades_PA!$C$131))*H15*1000),""))</f>
        <v/>
      </c>
      <c r="Q15" s="200" t="str">
        <f>IF(K15="No",0,IF(K15="Sí",((INDEX(Dades_PA!$B$101:$Y$127,(MATCH(F15,Dades_PA!$A$101:$A$127,0)),(MATCH(L15,Dades_PA!$B$100:$Y$100,0))))*((Dades_PA!$B$131))*H15*1000),""))</f>
        <v/>
      </c>
      <c r="R15" s="200" t="str">
        <f>IF(K15="No",0,IF(K15="Sí",((INDEX(Dades_PA!$B$101:$Y$127,(MATCH(F15,Dades_PA!$A$101:$A$127,0)),(MATCH(L15,Dades_PA!$B$100:$Y$100,0))))*((Dades_PA!$C$131))*H15*1000),""))</f>
        <v/>
      </c>
      <c r="S15" s="200" t="str">
        <f>IF(M15="No",0,IF(M15="Sí",((INDEX(Dades_PA!$B$101:$Y$127,(MATCH(F15,Dades_PA!$A$101:$A$127,0)),(MATCH(N15,Dades_PA!$B$100:$Y$100,0))))*((Dades_PA!$B$131))*H15*1000),""))</f>
        <v/>
      </c>
      <c r="T15" s="200" t="str">
        <f>IF(M15="No",0,IF(M15="Sí",((INDEX(Dades_PA!$B$101:$Y$127,(MATCH(F15,Dades_PA!$A$101:$A$127,0)),(MATCH(N15,Dades_PA!$B$100:$Y$100,0))))*((Dades_PA!$C$131))*H15*1000),""))</f>
        <v/>
      </c>
      <c r="U15" s="203" t="str">
        <f>IFERROR(((((O15+Q15+S15)*Dades_PA!$B$135)+((P15+R15+T15)*Dades_PA!$B$136))/1000),"")</f>
        <v/>
      </c>
    </row>
    <row r="16" spans="1:22" ht="15.75" customHeight="1" thickBot="1">
      <c r="E16" s="397"/>
      <c r="F16" s="196" t="str">
        <f>IF('2.1 Absorcions arbres'!E16=0,"",'2.1 Absorcions arbres'!E16)</f>
        <v/>
      </c>
      <c r="G16" s="212" t="str">
        <f t="shared" si="3"/>
        <v/>
      </c>
      <c r="H16" s="213" t="str">
        <f>IF('2.2 Emissions restes tallada'!I23="","",'2.2 Emissions restes tallada'!I23)</f>
        <v/>
      </c>
      <c r="I16" s="113" t="str">
        <f>IF('2.2 Emissions restes tallada'!L23="Crema","Sí",(IF('2.2 Emissions restes tallada'!L23="Descomposició","No",(IF('2.2 Emissions restes tallada'!L23="Producte","No"," ")))))</f>
        <v xml:space="preserve"> </v>
      </c>
      <c r="J16" s="113" t="str">
        <f t="shared" si="0"/>
        <v>Bb&lt;2iBf-</v>
      </c>
      <c r="K16" s="113" t="str">
        <f>IF('2.2 Emissions restes tallada'!N23="Crema","Sí",(IF('2.2 Emissions restes tallada'!N23="Descomposició","No",(IF('2.2 Emissions restes tallada'!N23="Producte","No"," ")))))</f>
        <v xml:space="preserve"> </v>
      </c>
      <c r="L16" s="113" t="str">
        <f t="shared" si="1"/>
        <v>Bb&gt;2-</v>
      </c>
      <c r="M16" s="113" t="str">
        <f>IF('2.2 Emissions restes tallada'!P23="Crema","Sí",(IF('2.2 Emissions restes tallada'!P23="Descomposició","No",(IF('2.2 Emissions restes tallada'!P23="Producte","No"," ")))))</f>
        <v xml:space="preserve"> </v>
      </c>
      <c r="N16" s="113" t="str">
        <f t="shared" si="2"/>
        <v>Bt-</v>
      </c>
      <c r="O16" s="214" t="str">
        <f>IF(I16="No",0,IF(I16="Sí",((INDEX(Dades_PA!$B$101:$Y$127,(MATCH(F16,Dades_PA!$A$101:$A$127,0)),(MATCH(J16,Dades_PA!$B$100:$Y$100,0))))*((Dades_PA!$B$131))*H16*1000),""))</f>
        <v/>
      </c>
      <c r="P16" s="214" t="str">
        <f>IF(I16="No",0,IF(I16="Sí",((INDEX(Dades_PA!$B$101:$Y$127,(MATCH(F16,Dades_PA!$A$101:$A$127,0)),(MATCH(J16,Dades_PA!$B$100:$Y$100,0))))*((Dades_PA!$C$131))*H16*1000),""))</f>
        <v/>
      </c>
      <c r="Q16" s="214" t="str">
        <f>IF(K16="No",0,IF(K16="Sí",((INDEX(Dades_PA!$B$101:$Y$127,(MATCH(F16,Dades_PA!$A$101:$A$127,0)),(MATCH(L16,Dades_PA!$B$100:$Y$100,0))))*((Dades_PA!$B$131))*H16*1000),""))</f>
        <v/>
      </c>
      <c r="R16" s="214" t="str">
        <f>IF(K16="No",0,IF(K16="Sí",((INDEX(Dades_PA!$B$101:$Y$127,(MATCH(F16,Dades_PA!$A$101:$A$127,0)),(MATCH(L16,Dades_PA!$B$100:$Y$100,0))))*((Dades_PA!$C$131))*H16*1000),""))</f>
        <v/>
      </c>
      <c r="S16" s="214" t="str">
        <f>IF(M16="No",0,IF(M16="Sí",((INDEX(Dades_PA!$B$101:$Y$127,(MATCH(F16,Dades_PA!$A$101:$A$127,0)),(MATCH(N16,Dades_PA!$B$100:$Y$100,0))))*((Dades_PA!$B$131))*H16*1000),""))</f>
        <v/>
      </c>
      <c r="T16" s="214" t="str">
        <f>IF(M16="No",0,IF(M16="Sí",((INDEX(Dades_PA!$B$101:$Y$127,(MATCH(F16,Dades_PA!$A$101:$A$127,0)),(MATCH(N16,Dades_PA!$B$100:$Y$100,0))))*((Dades_PA!$C$131))*H16*1000),""))</f>
        <v/>
      </c>
      <c r="U16" s="215" t="str">
        <f>IFERROR(((((O16+Q16+S16)*Dades_PA!$B$135)+((P16+R16+T16)*Dades_PA!$B$136))/1000),"")</f>
        <v/>
      </c>
    </row>
    <row r="17" spans="2:24" ht="15.75" customHeight="1">
      <c r="E17" s="395" t="str">
        <f>IF(('1. Dades generals del projecte'!D31)="","",('1. Dades generals del projecte'!D31))</f>
        <v/>
      </c>
      <c r="F17" s="194" t="str">
        <f>IF('2.1 Absorcions arbres'!E17=0,"",'2.1 Absorcions arbres'!E17)</f>
        <v/>
      </c>
      <c r="G17" s="209" t="str">
        <f>IF(('2.1 Absorcions arbres'!H17&gt;0),('2.1 Absorcions arbres'!H17),"")</f>
        <v/>
      </c>
      <c r="H17" s="210" t="str">
        <f>IF('2.2 Emissions restes tallada'!I24="","",'2.2 Emissions restes tallada'!I24)</f>
        <v/>
      </c>
      <c r="I17" s="105" t="str">
        <f>IF('2.2 Emissions restes tallada'!L24="Crema","Sí",(IF('2.2 Emissions restes tallada'!L24="Descomposició","No",(IF('2.2 Emissions restes tallada'!L24="Producte","No"," ")))))</f>
        <v xml:space="preserve"> </v>
      </c>
      <c r="J17" s="105" t="str">
        <f t="shared" si="0"/>
        <v>Bb&lt;2iBf-</v>
      </c>
      <c r="K17" s="105" t="str">
        <f>IF('2.2 Emissions restes tallada'!N24="Crema","Sí",(IF('2.2 Emissions restes tallada'!N24="Descomposició","No",(IF('2.2 Emissions restes tallada'!N24="Producte","No"," ")))))</f>
        <v xml:space="preserve"> </v>
      </c>
      <c r="L17" s="105" t="str">
        <f t="shared" si="1"/>
        <v>Bb&gt;2-</v>
      </c>
      <c r="M17" s="105" t="str">
        <f>IF('2.2 Emissions restes tallada'!P24="Crema","Sí",(IF('2.2 Emissions restes tallada'!P24="Descomposició","No",(IF('2.2 Emissions restes tallada'!P24="Producte","No"," ")))))</f>
        <v xml:space="preserve"> </v>
      </c>
      <c r="N17" s="105" t="str">
        <f t="shared" si="2"/>
        <v>Bt-</v>
      </c>
      <c r="O17" s="194" t="str">
        <f>IF(I17="No",0,IF(I17="Sí",((INDEX(Dades_PA!$B$101:$Y$127,(MATCH(F17,Dades_PA!$A$101:$A$127,0)),(MATCH(J17,Dades_PA!$B$100:$Y$100,0))))*((Dades_PA!$B$131))*H17*1000),""))</f>
        <v/>
      </c>
      <c r="P17" s="194" t="str">
        <f>IF(I17="No",0,IF(I17="Sí",((INDEX(Dades_PA!$B$101:$Y$127,(MATCH(F17,Dades_PA!$A$101:$A$127,0)),(MATCH(J17,Dades_PA!$B$100:$Y$100,0))))*((Dades_PA!$C$131))*H17*1000),""))</f>
        <v/>
      </c>
      <c r="Q17" s="194" t="str">
        <f>IF(K17="No",0,IF(K17="Sí",((INDEX(Dades_PA!$B$101:$Y$127,(MATCH(F17,Dades_PA!$A$101:$A$127,0)),(MATCH(L17,Dades_PA!$B$100:$Y$100,0))))*((Dades_PA!$B$131))*H17*1000),""))</f>
        <v/>
      </c>
      <c r="R17" s="194" t="str">
        <f>IF(K17="No",0,IF(K17="Sí",((INDEX(Dades_PA!$B$101:$Y$127,(MATCH(F17,Dades_PA!$A$101:$A$127,0)),(MATCH(L17,Dades_PA!$B$100:$Y$100,0))))*((Dades_PA!$C$131))*H17*1000),""))</f>
        <v/>
      </c>
      <c r="S17" s="194" t="str">
        <f>IF(M17="No",0,IF(M17="Sí",((INDEX(Dades_PA!$B$101:$Y$127,(MATCH(F17,Dades_PA!$A$101:$A$127,0)),(MATCH(N17,Dades_PA!$B$100:$Y$100,0))))*((Dades_PA!$B$131))*H17*1000),""))</f>
        <v/>
      </c>
      <c r="T17" s="194" t="str">
        <f>IF(M17="No",0,IF(M17="Sí",((INDEX(Dades_PA!$B$101:$Y$127,(MATCH(F17,Dades_PA!$A$101:$A$127,0)),(MATCH(N17,Dades_PA!$B$100:$Y$100,0))))*((Dades_PA!$C$131))*H17*1000),""))</f>
        <v/>
      </c>
      <c r="U17" s="211" t="str">
        <f>IFERROR(((((O17+Q17+S17)*Dades_PA!$B$135)+((P17+R17+T17)*Dades_PA!$B$136))/1000),"")</f>
        <v/>
      </c>
    </row>
    <row r="18" spans="2:24" ht="15.75" customHeight="1">
      <c r="E18" s="396"/>
      <c r="F18" s="195" t="str">
        <f>IF('2.1 Absorcions arbres'!E18=0,"",'2.1 Absorcions arbres'!E18)</f>
        <v/>
      </c>
      <c r="G18" s="202" t="str">
        <f>$G$17</f>
        <v/>
      </c>
      <c r="H18" s="201" t="str">
        <f>IF('2.2 Emissions restes tallada'!I25="","",'2.2 Emissions restes tallada'!I25)</f>
        <v/>
      </c>
      <c r="I18" s="109" t="str">
        <f>IF('2.2 Emissions restes tallada'!L25="Crema","Sí",(IF('2.2 Emissions restes tallada'!L25="Descomposició","No",(IF('2.2 Emissions restes tallada'!L25="Producte","No"," ")))))</f>
        <v xml:space="preserve"> </v>
      </c>
      <c r="J18" s="109" t="str">
        <f t="shared" si="0"/>
        <v>Bb&lt;2iBf-</v>
      </c>
      <c r="K18" s="109" t="str">
        <f>IF('2.2 Emissions restes tallada'!N25="Crema","Sí",(IF('2.2 Emissions restes tallada'!N25="Descomposició","No",(IF('2.2 Emissions restes tallada'!N25="Producte","No"," ")))))</f>
        <v xml:space="preserve"> </v>
      </c>
      <c r="L18" s="109" t="str">
        <f t="shared" si="1"/>
        <v>Bb&gt;2-</v>
      </c>
      <c r="M18" s="109" t="str">
        <f>IF('2.2 Emissions restes tallada'!P25="Crema","Sí",(IF('2.2 Emissions restes tallada'!P25="Descomposició","No",(IF('2.2 Emissions restes tallada'!P25="Producte","No"," ")))))</f>
        <v xml:space="preserve"> </v>
      </c>
      <c r="N18" s="109" t="str">
        <f t="shared" si="2"/>
        <v>Bt-</v>
      </c>
      <c r="O18" s="200" t="str">
        <f>IF(I18="No",0,IF(I18="Sí",((INDEX(Dades_PA!$B$101:$Y$127,(MATCH(F18,Dades_PA!$A$101:$A$127,0)),(MATCH(J18,Dades_PA!$B$100:$Y$100,0))))*((Dades_PA!$B$131))*H18*1000),""))</f>
        <v/>
      </c>
      <c r="P18" s="200" t="str">
        <f>IF(I18="No",0,IF(I18="Sí",((INDEX(Dades_PA!$B$101:$Y$127,(MATCH(F18,Dades_PA!$A$101:$A$127,0)),(MATCH(J18,Dades_PA!$B$100:$Y$100,0))))*((Dades_PA!$C$131))*H18*1000),""))</f>
        <v/>
      </c>
      <c r="Q18" s="200" t="str">
        <f>IF(K18="No",0,IF(K18="Sí",((INDEX(Dades_PA!$B$101:$Y$127,(MATCH(F18,Dades_PA!$A$101:$A$127,0)),(MATCH(L18,Dades_PA!$B$100:$Y$100,0))))*((Dades_PA!$B$131))*H18*1000),""))</f>
        <v/>
      </c>
      <c r="R18" s="200" t="str">
        <f>IF(K18="No",0,IF(K18="Sí",((INDEX(Dades_PA!$B$101:$Y$127,(MATCH(F18,Dades_PA!$A$101:$A$127,0)),(MATCH(L18,Dades_PA!$B$100:$Y$100,0))))*((Dades_PA!$C$131))*H18*1000),""))</f>
        <v/>
      </c>
      <c r="S18" s="200" t="str">
        <f>IF(M18="No",0,IF(M18="Sí",((INDEX(Dades_PA!$B$101:$Y$127,(MATCH(F18,Dades_PA!$A$101:$A$127,0)),(MATCH(N18,Dades_PA!$B$100:$Y$100,0))))*((Dades_PA!$B$131))*H18*1000),""))</f>
        <v/>
      </c>
      <c r="T18" s="200" t="str">
        <f>IF(M18="No",0,IF(M18="Sí",((INDEX(Dades_PA!$B$101:$Y$127,(MATCH(F18,Dades_PA!$A$101:$A$127,0)),(MATCH(N18,Dades_PA!$B$100:$Y$100,0))))*((Dades_PA!$C$131))*H18*1000),""))</f>
        <v/>
      </c>
      <c r="U18" s="203" t="str">
        <f>IFERROR(((((O18+Q18+S18)*Dades_PA!$B$135)+((P18+R18+T18)*Dades_PA!$B$136))/1000),"")</f>
        <v/>
      </c>
    </row>
    <row r="19" spans="2:24" ht="15.75" customHeight="1">
      <c r="E19" s="396"/>
      <c r="F19" s="195" t="str">
        <f>IF('2.1 Absorcions arbres'!E19=0,"",'2.1 Absorcions arbres'!E19)</f>
        <v/>
      </c>
      <c r="G19" s="202" t="str">
        <f t="shared" ref="G19:G26" si="4">$G$17</f>
        <v/>
      </c>
      <c r="H19" s="201" t="str">
        <f>IF('2.2 Emissions restes tallada'!I26="","",'2.2 Emissions restes tallada'!I26)</f>
        <v/>
      </c>
      <c r="I19" s="109" t="str">
        <f>IF('2.2 Emissions restes tallada'!L26="Crema","Sí",(IF('2.2 Emissions restes tallada'!L26="Descomposició","No",(IF('2.2 Emissions restes tallada'!L26="Producte","No"," ")))))</f>
        <v xml:space="preserve"> </v>
      </c>
      <c r="J19" s="109" t="str">
        <f t="shared" si="0"/>
        <v>Bb&lt;2iBf-</v>
      </c>
      <c r="K19" s="109" t="str">
        <f>IF('2.2 Emissions restes tallada'!N26="Crema","Sí",(IF('2.2 Emissions restes tallada'!N26="Descomposició","No",(IF('2.2 Emissions restes tallada'!N26="Producte","No"," ")))))</f>
        <v xml:space="preserve"> </v>
      </c>
      <c r="L19" s="109" t="str">
        <f t="shared" si="1"/>
        <v>Bb&gt;2-</v>
      </c>
      <c r="M19" s="109" t="str">
        <f>IF('2.2 Emissions restes tallada'!P26="Crema","Sí",(IF('2.2 Emissions restes tallada'!P26="Descomposició","No",(IF('2.2 Emissions restes tallada'!P26="Producte","No"," ")))))</f>
        <v xml:space="preserve"> </v>
      </c>
      <c r="N19" s="109" t="str">
        <f t="shared" si="2"/>
        <v>Bt-</v>
      </c>
      <c r="O19" s="200" t="str">
        <f>IF(I19="No",0,IF(I19="Sí",((INDEX(Dades_PA!$B$101:$Y$127,(MATCH(F19,Dades_PA!$A$101:$A$127,0)),(MATCH(J19,Dades_PA!$B$100:$Y$100,0))))*((Dades_PA!$B$131))*H19*1000),""))</f>
        <v/>
      </c>
      <c r="P19" s="200" t="str">
        <f>IF(I19="No",0,IF(I19="Sí",((INDEX(Dades_PA!$B$101:$Y$127,(MATCH(F19,Dades_PA!$A$101:$A$127,0)),(MATCH(J19,Dades_PA!$B$100:$Y$100,0))))*((Dades_PA!$C$131))*H19*1000),""))</f>
        <v/>
      </c>
      <c r="Q19" s="200" t="str">
        <f>IF(K19="No",0,IF(K19="Sí",((INDEX(Dades_PA!$B$101:$Y$127,(MATCH(F19,Dades_PA!$A$101:$A$127,0)),(MATCH(L19,Dades_PA!$B$100:$Y$100,0))))*((Dades_PA!$B$131))*H19*1000),""))</f>
        <v/>
      </c>
      <c r="R19" s="200" t="str">
        <f>IF(K19="No",0,IF(K19="Sí",((INDEX(Dades_PA!$B$101:$Y$127,(MATCH(F19,Dades_PA!$A$101:$A$127,0)),(MATCH(L19,Dades_PA!$B$100:$Y$100,0))))*((Dades_PA!$C$131))*H19*1000),""))</f>
        <v/>
      </c>
      <c r="S19" s="200" t="str">
        <f>IF(M19="No",0,IF(M19="Sí",((INDEX(Dades_PA!$B$101:$Y$127,(MATCH(F19,Dades_PA!$A$101:$A$127,0)),(MATCH(N19,Dades_PA!$B$100:$Y$100,0))))*((Dades_PA!$B$131))*H19*1000),""))</f>
        <v/>
      </c>
      <c r="T19" s="200" t="str">
        <f>IF(M19="No",0,IF(M19="Sí",((INDEX(Dades_PA!$B$101:$Y$127,(MATCH(F19,Dades_PA!$A$101:$A$127,0)),(MATCH(N19,Dades_PA!$B$100:$Y$100,0))))*((Dades_PA!$C$131))*H19*1000),""))</f>
        <v/>
      </c>
      <c r="U19" s="203" t="str">
        <f>IFERROR(((((O19+Q19+S19)*Dades_PA!$B$135)+((P19+R19+T19)*Dades_PA!$B$136))/1000),"")</f>
        <v/>
      </c>
    </row>
    <row r="20" spans="2:24" ht="15.75" customHeight="1">
      <c r="E20" s="396"/>
      <c r="F20" s="195" t="str">
        <f>IF('2.1 Absorcions arbres'!E20=0,"",'2.1 Absorcions arbres'!E20)</f>
        <v/>
      </c>
      <c r="G20" s="202" t="str">
        <f t="shared" si="4"/>
        <v/>
      </c>
      <c r="H20" s="201" t="str">
        <f>IF('2.2 Emissions restes tallada'!I27="","",'2.2 Emissions restes tallada'!I27)</f>
        <v/>
      </c>
      <c r="I20" s="109" t="str">
        <f>IF('2.2 Emissions restes tallada'!L27="Crema","Sí",(IF('2.2 Emissions restes tallada'!L27="Descomposició","No",(IF('2.2 Emissions restes tallada'!L27="Producte","No"," ")))))</f>
        <v xml:space="preserve"> </v>
      </c>
      <c r="J20" s="109" t="str">
        <f t="shared" si="0"/>
        <v>Bb&lt;2iBf-</v>
      </c>
      <c r="K20" s="109" t="str">
        <f>IF('2.2 Emissions restes tallada'!N27="Crema","Sí",(IF('2.2 Emissions restes tallada'!N27="Descomposició","No",(IF('2.2 Emissions restes tallada'!N27="Producte","No"," ")))))</f>
        <v xml:space="preserve"> </v>
      </c>
      <c r="L20" s="109" t="str">
        <f t="shared" si="1"/>
        <v>Bb&gt;2-</v>
      </c>
      <c r="M20" s="109" t="str">
        <f>IF('2.2 Emissions restes tallada'!P27="Crema","Sí",(IF('2.2 Emissions restes tallada'!P27="Descomposició","No",(IF('2.2 Emissions restes tallada'!P27="Producte","No"," ")))))</f>
        <v xml:space="preserve"> </v>
      </c>
      <c r="N20" s="109" t="str">
        <f t="shared" si="2"/>
        <v>Bt-</v>
      </c>
      <c r="O20" s="200" t="str">
        <f>IF(I20="No",0,IF(I20="Sí",((INDEX(Dades_PA!$B$101:$Y$127,(MATCH(F20,Dades_PA!$A$101:$A$127,0)),(MATCH(J20,Dades_PA!$B$100:$Y$100,0))))*((Dades_PA!$B$131))*H20*1000),""))</f>
        <v/>
      </c>
      <c r="P20" s="200" t="str">
        <f>IF(I20="No",0,IF(I20="Sí",((INDEX(Dades_PA!$B$101:$Y$127,(MATCH(F20,Dades_PA!$A$101:$A$127,0)),(MATCH(J20,Dades_PA!$B$100:$Y$100,0))))*((Dades_PA!$C$131))*H20*1000),""))</f>
        <v/>
      </c>
      <c r="Q20" s="200" t="str">
        <f>IF(K20="No",0,IF(K20="Sí",((INDEX(Dades_PA!$B$101:$Y$127,(MATCH(F20,Dades_PA!$A$101:$A$127,0)),(MATCH(L20,Dades_PA!$B$100:$Y$100,0))))*((Dades_PA!$B$131))*H20*1000),""))</f>
        <v/>
      </c>
      <c r="R20" s="200" t="str">
        <f>IF(K20="No",0,IF(K20="Sí",((INDEX(Dades_PA!$B$101:$Y$127,(MATCH(F20,Dades_PA!$A$101:$A$127,0)),(MATCH(L20,Dades_PA!$B$100:$Y$100,0))))*((Dades_PA!$C$131))*H20*1000),""))</f>
        <v/>
      </c>
      <c r="S20" s="200" t="str">
        <f>IF(M20="No",0,IF(M20="Sí",((INDEX(Dades_PA!$B$101:$Y$127,(MATCH(F20,Dades_PA!$A$101:$A$127,0)),(MATCH(N20,Dades_PA!$B$100:$Y$100,0))))*((Dades_PA!$B$131))*H20*1000),""))</f>
        <v/>
      </c>
      <c r="T20" s="200" t="str">
        <f>IF(M20="No",0,IF(M20="Sí",((INDEX(Dades_PA!$B$101:$Y$127,(MATCH(F20,Dades_PA!$A$101:$A$127,0)),(MATCH(N20,Dades_PA!$B$100:$Y$100,0))))*((Dades_PA!$C$131))*H20*1000),""))</f>
        <v/>
      </c>
      <c r="U20" s="203" t="str">
        <f>IFERROR(((((O20+Q20+S20)*Dades_PA!$B$135)+((P20+R20+T20)*Dades_PA!$B$136))/1000),"")</f>
        <v/>
      </c>
    </row>
    <row r="21" spans="2:24" ht="15.75" customHeight="1">
      <c r="E21" s="396"/>
      <c r="F21" s="195" t="str">
        <f>IF('2.1 Absorcions arbres'!E21=0,"",'2.1 Absorcions arbres'!E21)</f>
        <v/>
      </c>
      <c r="G21" s="202" t="str">
        <f t="shared" si="4"/>
        <v/>
      </c>
      <c r="H21" s="201" t="str">
        <f>IF('2.2 Emissions restes tallada'!I28="","",'2.2 Emissions restes tallada'!I28)</f>
        <v/>
      </c>
      <c r="I21" s="109" t="str">
        <f>IF('2.2 Emissions restes tallada'!L28="Crema","Sí",(IF('2.2 Emissions restes tallada'!L28="Descomposició","No",(IF('2.2 Emissions restes tallada'!L28="Producte","No"," ")))))</f>
        <v xml:space="preserve"> </v>
      </c>
      <c r="J21" s="109" t="str">
        <f t="shared" si="0"/>
        <v>Bb&lt;2iBf-</v>
      </c>
      <c r="K21" s="109" t="str">
        <f>IF('2.2 Emissions restes tallada'!N28="Crema","Sí",(IF('2.2 Emissions restes tallada'!N28="Descomposició","No",(IF('2.2 Emissions restes tallada'!N28="Producte","No"," ")))))</f>
        <v xml:space="preserve"> </v>
      </c>
      <c r="L21" s="109" t="str">
        <f t="shared" si="1"/>
        <v>Bb&gt;2-</v>
      </c>
      <c r="M21" s="109" t="str">
        <f>IF('2.2 Emissions restes tallada'!P28="Crema","Sí",(IF('2.2 Emissions restes tallada'!P28="Descomposició","No",(IF('2.2 Emissions restes tallada'!P28="Producte","No"," ")))))</f>
        <v xml:space="preserve"> </v>
      </c>
      <c r="N21" s="109" t="str">
        <f t="shared" si="2"/>
        <v>Bt-</v>
      </c>
      <c r="O21" s="200" t="str">
        <f>IF(I21="No",0,IF(I21="Sí",((INDEX(Dades_PA!$B$101:$Y$127,(MATCH(F21,Dades_PA!$A$101:$A$127,0)),(MATCH(J21,Dades_PA!$B$100:$Y$100,0))))*((Dades_PA!$B$131))*H21*1000),""))</f>
        <v/>
      </c>
      <c r="P21" s="200" t="str">
        <f>IF(I21="No",0,IF(I21="Sí",((INDEX(Dades_PA!$B$101:$Y$127,(MATCH(F21,Dades_PA!$A$101:$A$127,0)),(MATCH(J21,Dades_PA!$B$100:$Y$100,0))))*((Dades_PA!$C$131))*H21*1000),""))</f>
        <v/>
      </c>
      <c r="Q21" s="200" t="str">
        <f>IF(K21="No",0,IF(K21="Sí",((INDEX(Dades_PA!$B$101:$Y$127,(MATCH(F21,Dades_PA!$A$101:$A$127,0)),(MATCH(L21,Dades_PA!$B$100:$Y$100,0))))*((Dades_PA!$B$131))*H21*1000),""))</f>
        <v/>
      </c>
      <c r="R21" s="200" t="str">
        <f>IF(K21="No",0,IF(K21="Sí",((INDEX(Dades_PA!$B$101:$Y$127,(MATCH(F21,Dades_PA!$A$101:$A$127,0)),(MATCH(L21,Dades_PA!$B$100:$Y$100,0))))*((Dades_PA!$C$131))*H21*1000),""))</f>
        <v/>
      </c>
      <c r="S21" s="200" t="str">
        <f>IF(M21="No",0,IF(M21="Sí",((INDEX(Dades_PA!$B$101:$Y$127,(MATCH(F21,Dades_PA!$A$101:$A$127,0)),(MATCH(N21,Dades_PA!$B$100:$Y$100,0))))*((Dades_PA!$B$131))*H21*1000),""))</f>
        <v/>
      </c>
      <c r="T21" s="200" t="str">
        <f>IF(M21="No",0,IF(M21="Sí",((INDEX(Dades_PA!$B$101:$Y$127,(MATCH(F21,Dades_PA!$A$101:$A$127,0)),(MATCH(N21,Dades_PA!$B$100:$Y$100,0))))*((Dades_PA!$C$131))*H21*1000),""))</f>
        <v/>
      </c>
      <c r="U21" s="203" t="str">
        <f>IFERROR(((((O21+Q21+S21)*Dades_PA!$B$135)+((P21+R21+T21)*Dades_PA!$B$136))/1000),"")</f>
        <v/>
      </c>
    </row>
    <row r="22" spans="2:24" ht="15.75" customHeight="1">
      <c r="E22" s="396"/>
      <c r="F22" s="195" t="str">
        <f>IF('2.1 Absorcions arbres'!E22=0,"",'2.1 Absorcions arbres'!E22)</f>
        <v/>
      </c>
      <c r="G22" s="202" t="str">
        <f t="shared" si="4"/>
        <v/>
      </c>
      <c r="H22" s="201" t="str">
        <f>IF('2.2 Emissions restes tallada'!I29="","",'2.2 Emissions restes tallada'!I29)</f>
        <v/>
      </c>
      <c r="I22" s="109" t="str">
        <f>IF('2.2 Emissions restes tallada'!L29="Crema","Sí",(IF('2.2 Emissions restes tallada'!L29="Descomposició","No",(IF('2.2 Emissions restes tallada'!L29="Producte","No"," ")))))</f>
        <v xml:space="preserve"> </v>
      </c>
      <c r="J22" s="109" t="str">
        <f t="shared" si="0"/>
        <v>Bb&lt;2iBf-</v>
      </c>
      <c r="K22" s="109" t="str">
        <f>IF('2.2 Emissions restes tallada'!N29="Crema","Sí",(IF('2.2 Emissions restes tallada'!N29="Descomposició","No",(IF('2.2 Emissions restes tallada'!N29="Producte","No"," ")))))</f>
        <v xml:space="preserve"> </v>
      </c>
      <c r="L22" s="109" t="str">
        <f t="shared" si="1"/>
        <v>Bb&gt;2-</v>
      </c>
      <c r="M22" s="109" t="str">
        <f>IF('2.2 Emissions restes tallada'!P29="Crema","Sí",(IF('2.2 Emissions restes tallada'!P29="Descomposició","No",(IF('2.2 Emissions restes tallada'!P29="Producte","No"," ")))))</f>
        <v xml:space="preserve"> </v>
      </c>
      <c r="N22" s="109" t="str">
        <f t="shared" si="2"/>
        <v>Bt-</v>
      </c>
      <c r="O22" s="200" t="str">
        <f>IF(I22="No",0,IF(I22="Sí",((INDEX(Dades_PA!$B$101:$Y$127,(MATCH(F22,Dades_PA!$A$101:$A$127,0)),(MATCH(J22,Dades_PA!$B$100:$Y$100,0))))*((Dades_PA!$B$131))*H22*1000),""))</f>
        <v/>
      </c>
      <c r="P22" s="200" t="str">
        <f>IF(I22="No",0,IF(I22="Sí",((INDEX(Dades_PA!$B$101:$Y$127,(MATCH(F22,Dades_PA!$A$101:$A$127,0)),(MATCH(J22,Dades_PA!$B$100:$Y$100,0))))*((Dades_PA!$C$131))*H22*1000),""))</f>
        <v/>
      </c>
      <c r="Q22" s="200" t="str">
        <f>IF(K22="No",0,IF(K22="Sí",((INDEX(Dades_PA!$B$101:$Y$127,(MATCH(F22,Dades_PA!$A$101:$A$127,0)),(MATCH(L22,Dades_PA!$B$100:$Y$100,0))))*((Dades_PA!$B$131))*H22*1000),""))</f>
        <v/>
      </c>
      <c r="R22" s="200" t="str">
        <f>IF(K22="No",0,IF(K22="Sí",((INDEX(Dades_PA!$B$101:$Y$127,(MATCH(F22,Dades_PA!$A$101:$A$127,0)),(MATCH(L22,Dades_PA!$B$100:$Y$100,0))))*((Dades_PA!$C$131))*H22*1000),""))</f>
        <v/>
      </c>
      <c r="S22" s="200" t="str">
        <f>IF(M22="No",0,IF(M22="Sí",((INDEX(Dades_PA!$B$101:$Y$127,(MATCH(F22,Dades_PA!$A$101:$A$127,0)),(MATCH(N22,Dades_PA!$B$100:$Y$100,0))))*((Dades_PA!$B$131))*H22*1000),""))</f>
        <v/>
      </c>
      <c r="T22" s="200" t="str">
        <f>IF(M22="No",0,IF(M22="Sí",((INDEX(Dades_PA!$B$101:$Y$127,(MATCH(F22,Dades_PA!$A$101:$A$127,0)),(MATCH(N22,Dades_PA!$B$100:$Y$100,0))))*((Dades_PA!$C$131))*H22*1000),""))</f>
        <v/>
      </c>
      <c r="U22" s="203" t="str">
        <f>IFERROR(((((O22+Q22+S22)*Dades_PA!$B$135)+((P22+R22+T22)*Dades_PA!$B$136))/1000),"")</f>
        <v/>
      </c>
    </row>
    <row r="23" spans="2:24" ht="15.75" customHeight="1">
      <c r="E23" s="396"/>
      <c r="F23" s="195" t="str">
        <f>IF('2.1 Absorcions arbres'!E23=0,"",'2.1 Absorcions arbres'!E23)</f>
        <v/>
      </c>
      <c r="G23" s="202" t="str">
        <f t="shared" si="4"/>
        <v/>
      </c>
      <c r="H23" s="201" t="str">
        <f>IF('2.2 Emissions restes tallada'!I30="","",'2.2 Emissions restes tallada'!I30)</f>
        <v/>
      </c>
      <c r="I23" s="109" t="str">
        <f>IF('2.2 Emissions restes tallada'!L30="Crema","Sí",(IF('2.2 Emissions restes tallada'!L30="Descomposició","No",(IF('2.2 Emissions restes tallada'!L30="Producte","No"," ")))))</f>
        <v xml:space="preserve"> </v>
      </c>
      <c r="J23" s="109" t="str">
        <f t="shared" si="0"/>
        <v>Bb&lt;2iBf-</v>
      </c>
      <c r="K23" s="109" t="str">
        <f>IF('2.2 Emissions restes tallada'!N30="Crema","Sí",(IF('2.2 Emissions restes tallada'!N30="Descomposició","No",(IF('2.2 Emissions restes tallada'!N30="Producte","No"," ")))))</f>
        <v xml:space="preserve"> </v>
      </c>
      <c r="L23" s="109" t="str">
        <f t="shared" si="1"/>
        <v>Bb&gt;2-</v>
      </c>
      <c r="M23" s="109" t="str">
        <f>IF('2.2 Emissions restes tallada'!P30="Crema","Sí",(IF('2.2 Emissions restes tallada'!P30="Descomposició","No",(IF('2.2 Emissions restes tallada'!P30="Producte","No"," ")))))</f>
        <v xml:space="preserve"> </v>
      </c>
      <c r="N23" s="109" t="str">
        <f t="shared" si="2"/>
        <v>Bt-</v>
      </c>
      <c r="O23" s="200" t="str">
        <f>IF(I23="No",0,IF(I23="Sí",((INDEX(Dades_PA!$B$101:$Y$127,(MATCH(F23,Dades_PA!$A$101:$A$127,0)),(MATCH(J23,Dades_PA!$B$100:$Y$100,0))))*((Dades_PA!$B$131))*H23*1000),""))</f>
        <v/>
      </c>
      <c r="P23" s="200" t="str">
        <f>IF(I23="No",0,IF(I23="Sí",((INDEX(Dades_PA!$B$101:$Y$127,(MATCH(F23,Dades_PA!$A$101:$A$127,0)),(MATCH(J23,Dades_PA!$B$100:$Y$100,0))))*((Dades_PA!$C$131))*H23*1000),""))</f>
        <v/>
      </c>
      <c r="Q23" s="200" t="str">
        <f>IF(K23="No",0,IF(K23="Sí",((INDEX(Dades_PA!$B$101:$Y$127,(MATCH(F23,Dades_PA!$A$101:$A$127,0)),(MATCH(L23,Dades_PA!$B$100:$Y$100,0))))*((Dades_PA!$B$131))*H23*1000),""))</f>
        <v/>
      </c>
      <c r="R23" s="200" t="str">
        <f>IF(K23="No",0,IF(K23="Sí",((INDEX(Dades_PA!$B$101:$Y$127,(MATCH(F23,Dades_PA!$A$101:$A$127,0)),(MATCH(L23,Dades_PA!$B$100:$Y$100,0))))*((Dades_PA!$C$131))*H23*1000),""))</f>
        <v/>
      </c>
      <c r="S23" s="200" t="str">
        <f>IF(M23="No",0,IF(M23="Sí",((INDEX(Dades_PA!$B$101:$Y$127,(MATCH(F23,Dades_PA!$A$101:$A$127,0)),(MATCH(N23,Dades_PA!$B$100:$Y$100,0))))*((Dades_PA!$B$131))*H23*1000),""))</f>
        <v/>
      </c>
      <c r="T23" s="200" t="str">
        <f>IF(M23="No",0,IF(M23="Sí",((INDEX(Dades_PA!$B$101:$Y$127,(MATCH(F23,Dades_PA!$A$101:$A$127,0)),(MATCH(N23,Dades_PA!$B$100:$Y$100,0))))*((Dades_PA!$C$131))*H23*1000),""))</f>
        <v/>
      </c>
      <c r="U23" s="203" t="str">
        <f>IFERROR(((((O23+Q23+S23)*Dades_PA!$B$135)+((P23+R23+T23)*Dades_PA!$B$136))/1000),"")</f>
        <v/>
      </c>
    </row>
    <row r="24" spans="2:24" ht="15.75" customHeight="1">
      <c r="E24" s="396"/>
      <c r="F24" s="195" t="str">
        <f>IF('2.1 Absorcions arbres'!E24=0,"",'2.1 Absorcions arbres'!E24)</f>
        <v/>
      </c>
      <c r="G24" s="202" t="str">
        <f t="shared" si="4"/>
        <v/>
      </c>
      <c r="H24" s="201" t="str">
        <f>IF('2.2 Emissions restes tallada'!I31="","",'2.2 Emissions restes tallada'!I31)</f>
        <v/>
      </c>
      <c r="I24" s="109" t="str">
        <f>IF('2.2 Emissions restes tallada'!L31="Crema","Sí",(IF('2.2 Emissions restes tallada'!L31="Descomposició","No",(IF('2.2 Emissions restes tallada'!L31="Producte","No"," ")))))</f>
        <v xml:space="preserve"> </v>
      </c>
      <c r="J24" s="109" t="str">
        <f t="shared" si="0"/>
        <v>Bb&lt;2iBf-</v>
      </c>
      <c r="K24" s="109" t="str">
        <f>IF('2.2 Emissions restes tallada'!N31="Crema","Sí",(IF('2.2 Emissions restes tallada'!N31="Descomposició","No",(IF('2.2 Emissions restes tallada'!N31="Producte","No"," ")))))</f>
        <v xml:space="preserve"> </v>
      </c>
      <c r="L24" s="109" t="str">
        <f t="shared" si="1"/>
        <v>Bb&gt;2-</v>
      </c>
      <c r="M24" s="109" t="str">
        <f>IF('2.2 Emissions restes tallada'!P31="Crema","Sí",(IF('2.2 Emissions restes tallada'!P31="Descomposició","No",(IF('2.2 Emissions restes tallada'!P31="Producte","No"," ")))))</f>
        <v xml:space="preserve"> </v>
      </c>
      <c r="N24" s="109" t="str">
        <f t="shared" si="2"/>
        <v>Bt-</v>
      </c>
      <c r="O24" s="200" t="str">
        <f>IF(I24="No",0,IF(I24="Sí",((INDEX(Dades_PA!$B$101:$Y$127,(MATCH(F24,Dades_PA!$A$101:$A$127,0)),(MATCH(J24,Dades_PA!$B$100:$Y$100,0))))*((Dades_PA!$B$131))*H24*1000),""))</f>
        <v/>
      </c>
      <c r="P24" s="200" t="str">
        <f>IF(I24="No",0,IF(I24="Sí",((INDEX(Dades_PA!$B$101:$Y$127,(MATCH(F24,Dades_PA!$A$101:$A$127,0)),(MATCH(J24,Dades_PA!$B$100:$Y$100,0))))*((Dades_PA!$C$131))*H24*1000),""))</f>
        <v/>
      </c>
      <c r="Q24" s="200" t="str">
        <f>IF(K24="No",0,IF(K24="Sí",((INDEX(Dades_PA!$B$101:$Y$127,(MATCH(F24,Dades_PA!$A$101:$A$127,0)),(MATCH(L24,Dades_PA!$B$100:$Y$100,0))))*((Dades_PA!$B$131))*H24*1000),""))</f>
        <v/>
      </c>
      <c r="R24" s="200" t="str">
        <f>IF(K24="No",0,IF(K24="Sí",((INDEX(Dades_PA!$B$101:$Y$127,(MATCH(F24,Dades_PA!$A$101:$A$127,0)),(MATCH(L24,Dades_PA!$B$100:$Y$100,0))))*((Dades_PA!$C$131))*H24*1000),""))</f>
        <v/>
      </c>
      <c r="S24" s="200" t="str">
        <f>IF(M24="No",0,IF(M24="Sí",((INDEX(Dades_PA!$B$101:$Y$127,(MATCH(F24,Dades_PA!$A$101:$A$127,0)),(MATCH(N24,Dades_PA!$B$100:$Y$100,0))))*((Dades_PA!$B$131))*H24*1000),""))</f>
        <v/>
      </c>
      <c r="T24" s="200" t="str">
        <f>IF(M24="No",0,IF(M24="Sí",((INDEX(Dades_PA!$B$101:$Y$127,(MATCH(F24,Dades_PA!$A$101:$A$127,0)),(MATCH(N24,Dades_PA!$B$100:$Y$100,0))))*((Dades_PA!$C$131))*H24*1000),""))</f>
        <v/>
      </c>
      <c r="U24" s="203" t="str">
        <f>IFERROR(((((O24+Q24+S24)*Dades_PA!$B$135)+((P24+R24+T24)*Dades_PA!$B$136))/1000),"")</f>
        <v/>
      </c>
    </row>
    <row r="25" spans="2:24" ht="15.75" customHeight="1">
      <c r="E25" s="396"/>
      <c r="F25" s="195" t="str">
        <f>IF('2.1 Absorcions arbres'!E25=0,"",'2.1 Absorcions arbres'!E25)</f>
        <v/>
      </c>
      <c r="G25" s="202" t="str">
        <f t="shared" si="4"/>
        <v/>
      </c>
      <c r="H25" s="201" t="str">
        <f>IF('2.2 Emissions restes tallada'!I32="","",'2.2 Emissions restes tallada'!I32)</f>
        <v/>
      </c>
      <c r="I25" s="109" t="str">
        <f>IF('2.2 Emissions restes tallada'!L32="Crema","Sí",(IF('2.2 Emissions restes tallada'!L32="Descomposició","No",(IF('2.2 Emissions restes tallada'!L32="Producte","No"," ")))))</f>
        <v xml:space="preserve"> </v>
      </c>
      <c r="J25" s="109" t="str">
        <f t="shared" si="0"/>
        <v>Bb&lt;2iBf-</v>
      </c>
      <c r="K25" s="109" t="str">
        <f>IF('2.2 Emissions restes tallada'!N32="Crema","Sí",(IF('2.2 Emissions restes tallada'!N32="Descomposició","No",(IF('2.2 Emissions restes tallada'!N32="Producte","No"," ")))))</f>
        <v xml:space="preserve"> </v>
      </c>
      <c r="L25" s="109" t="str">
        <f t="shared" si="1"/>
        <v>Bb&gt;2-</v>
      </c>
      <c r="M25" s="109" t="str">
        <f>IF('2.2 Emissions restes tallada'!P32="Crema","Sí",(IF('2.2 Emissions restes tallada'!P32="Descomposició","No",(IF('2.2 Emissions restes tallada'!P32="Producte","No"," ")))))</f>
        <v xml:space="preserve"> </v>
      </c>
      <c r="N25" s="109" t="str">
        <f t="shared" si="2"/>
        <v>Bt-</v>
      </c>
      <c r="O25" s="200" t="str">
        <f>IF(I25="No",0,IF(I25="Sí",((INDEX(Dades_PA!$B$101:$Y$127,(MATCH(F25,Dades_PA!$A$101:$A$127,0)),(MATCH(J25,Dades_PA!$B$100:$Y$100,0))))*((Dades_PA!$B$131))*H25*1000),""))</f>
        <v/>
      </c>
      <c r="P25" s="200" t="str">
        <f>IF(I25="No",0,IF(I25="Sí",((INDEX(Dades_PA!$B$101:$Y$127,(MATCH(F25,Dades_PA!$A$101:$A$127,0)),(MATCH(J25,Dades_PA!$B$100:$Y$100,0))))*((Dades_PA!$C$131))*H25*1000),""))</f>
        <v/>
      </c>
      <c r="Q25" s="200" t="str">
        <f>IF(K25="No",0,IF(K25="Sí",((INDEX(Dades_PA!$B$101:$Y$127,(MATCH(F25,Dades_PA!$A$101:$A$127,0)),(MATCH(L25,Dades_PA!$B$100:$Y$100,0))))*((Dades_PA!$B$131))*H25*1000),""))</f>
        <v/>
      </c>
      <c r="R25" s="200" t="str">
        <f>IF(K25="No",0,IF(K25="Sí",((INDEX(Dades_PA!$B$101:$Y$127,(MATCH(F25,Dades_PA!$A$101:$A$127,0)),(MATCH(L25,Dades_PA!$B$100:$Y$100,0))))*((Dades_PA!$C$131))*H25*1000),""))</f>
        <v/>
      </c>
      <c r="S25" s="200" t="str">
        <f>IF(M25="No",0,IF(M25="Sí",((INDEX(Dades_PA!$B$101:$Y$127,(MATCH(F25,Dades_PA!$A$101:$A$127,0)),(MATCH(N25,Dades_PA!$B$100:$Y$100,0))))*((Dades_PA!$B$131))*H25*1000),""))</f>
        <v/>
      </c>
      <c r="T25" s="200" t="str">
        <f>IF(M25="No",0,IF(M25="Sí",((INDEX(Dades_PA!$B$101:$Y$127,(MATCH(F25,Dades_PA!$A$101:$A$127,0)),(MATCH(N25,Dades_PA!$B$100:$Y$100,0))))*((Dades_PA!$C$131))*H25*1000),""))</f>
        <v/>
      </c>
      <c r="U25" s="203" t="str">
        <f>IFERROR(((((O25+Q25+S25)*Dades_PA!$B$135)+((P25+R25+T25)*Dades_PA!$B$136))/1000),"")</f>
        <v/>
      </c>
    </row>
    <row r="26" spans="2:24" ht="15.75" customHeight="1" thickBot="1">
      <c r="E26" s="398"/>
      <c r="F26" s="204" t="str">
        <f>IF('2.1 Absorcions arbres'!E26=0,"",'2.1 Absorcions arbres'!E26)</f>
        <v/>
      </c>
      <c r="G26" s="205" t="str">
        <f t="shared" si="4"/>
        <v/>
      </c>
      <c r="H26" s="206" t="str">
        <f>IF('2.2 Emissions restes tallada'!I33="","",'2.2 Emissions restes tallada'!I33)</f>
        <v/>
      </c>
      <c r="I26" s="193" t="str">
        <f>IF('2.2 Emissions restes tallada'!L33="Crema","Sí",(IF('2.2 Emissions restes tallada'!L33="Descomposició","No",(IF('2.2 Emissions restes tallada'!L33="Producte","No"," ")))))</f>
        <v xml:space="preserve"> </v>
      </c>
      <c r="J26" s="193" t="str">
        <f t="shared" si="0"/>
        <v>Bb&lt;2iBf-</v>
      </c>
      <c r="K26" s="193" t="str">
        <f>IF('2.2 Emissions restes tallada'!N33="Crema","Sí",(IF('2.2 Emissions restes tallada'!N33="Descomposició","No",(IF('2.2 Emissions restes tallada'!N33="Producte","No"," ")))))</f>
        <v xml:space="preserve"> </v>
      </c>
      <c r="L26" s="193" t="str">
        <f t="shared" si="1"/>
        <v>Bb&gt;2-</v>
      </c>
      <c r="M26" s="193" t="str">
        <f>IF('2.2 Emissions restes tallada'!P33="Crema","Sí",(IF('2.2 Emissions restes tallada'!P33="Descomposició","No",(IF('2.2 Emissions restes tallada'!P33="Producte","No"," ")))))</f>
        <v xml:space="preserve"> </v>
      </c>
      <c r="N26" s="193" t="str">
        <f t="shared" si="2"/>
        <v>Bt-</v>
      </c>
      <c r="O26" s="207" t="str">
        <f>IF(I26="No",0,IF(I26="Sí",((INDEX(Dades_PA!$B$101:$Y$127,(MATCH(F26,Dades_PA!$A$101:$A$127,0)),(MATCH(J26,Dades_PA!$B$100:$Y$100,0))))*((Dades_PA!$B$131))*H26*1000),""))</f>
        <v/>
      </c>
      <c r="P26" s="207" t="str">
        <f>IF(I26="No",0,IF(I26="Sí",((INDEX(Dades_PA!$B$101:$Y$127,(MATCH(F26,Dades_PA!$A$101:$A$127,0)),(MATCH(J26,Dades_PA!$B$100:$Y$100,0))))*((Dades_PA!$C$131))*H26*1000),""))</f>
        <v/>
      </c>
      <c r="Q26" s="207" t="str">
        <f>IF(K26="No",0,IF(K26="Sí",((INDEX(Dades_PA!$B$101:$Y$127,(MATCH(F26,Dades_PA!$A$101:$A$127,0)),(MATCH(L26,Dades_PA!$B$100:$Y$100,0))))*((Dades_PA!$B$131))*H26*1000),""))</f>
        <v/>
      </c>
      <c r="R26" s="207" t="str">
        <f>IF(K26="No",0,IF(K26="Sí",((INDEX(Dades_PA!$B$101:$Y$127,(MATCH(F26,Dades_PA!$A$101:$A$127,0)),(MATCH(L26,Dades_PA!$B$100:$Y$100,0))))*((Dades_PA!$C$131))*H26*1000),""))</f>
        <v/>
      </c>
      <c r="S26" s="207" t="str">
        <f>IF(M26="No",0,IF(M26="Sí",((INDEX(Dades_PA!$B$101:$Y$127,(MATCH(F26,Dades_PA!$A$101:$A$127,0)),(MATCH(N26,Dades_PA!$B$100:$Y$100,0))))*((Dades_PA!$B$131))*H26*1000),""))</f>
        <v/>
      </c>
      <c r="T26" s="207" t="str">
        <f>IF(M26="No",0,IF(M26="Sí",((INDEX(Dades_PA!$B$101:$Y$127,(MATCH(F26,Dades_PA!$A$101:$A$127,0)),(MATCH(N26,Dades_PA!$B$100:$Y$100,0))))*((Dades_PA!$C$131))*H26*1000),""))</f>
        <v/>
      </c>
      <c r="U26" s="208" t="str">
        <f>IFERROR(((((O26+Q26+S26)*Dades_PA!$B$135)+((P26+R26+T26)*Dades_PA!$B$136))/1000),"")</f>
        <v/>
      </c>
    </row>
    <row r="27" spans="2:24" ht="15.75" customHeight="1">
      <c r="E27" s="395" t="str">
        <f>IF(('1. Dades generals del projecte'!D32)="","",('1. Dades generals del projecte'!D32))</f>
        <v/>
      </c>
      <c r="F27" s="194" t="str">
        <f>IF('2.1 Absorcions arbres'!E27=0,"",'2.1 Absorcions arbres'!E27)</f>
        <v/>
      </c>
      <c r="G27" s="209" t="str">
        <f>IF(('2.1 Absorcions arbres'!H27&gt;0),('2.1 Absorcions arbres'!H27),"")</f>
        <v/>
      </c>
      <c r="H27" s="210" t="str">
        <f>IF('2.2 Emissions restes tallada'!I34="","",'2.2 Emissions restes tallada'!I34)</f>
        <v/>
      </c>
      <c r="I27" s="105" t="str">
        <f>IF('2.2 Emissions restes tallada'!L34="Crema","Sí",(IF('2.2 Emissions restes tallada'!L34="Descomposició","No",(IF('2.2 Emissions restes tallada'!L34="Producte","No"," ")))))</f>
        <v xml:space="preserve"> </v>
      </c>
      <c r="J27" s="105" t="str">
        <f t="shared" si="0"/>
        <v>Bb&lt;2iBf-</v>
      </c>
      <c r="K27" s="105" t="str">
        <f>IF('2.2 Emissions restes tallada'!N34="Crema","Sí",(IF('2.2 Emissions restes tallada'!N34="Descomposició","No",(IF('2.2 Emissions restes tallada'!N34="Producte","No"," ")))))</f>
        <v xml:space="preserve"> </v>
      </c>
      <c r="L27" s="105" t="str">
        <f t="shared" si="1"/>
        <v>Bb&gt;2-</v>
      </c>
      <c r="M27" s="105" t="str">
        <f>IF('2.2 Emissions restes tallada'!P34="Crema","Sí",(IF('2.2 Emissions restes tallada'!P34="Descomposició","No",(IF('2.2 Emissions restes tallada'!P34="Producte","No"," ")))))</f>
        <v xml:space="preserve"> </v>
      </c>
      <c r="N27" s="105" t="str">
        <f t="shared" si="2"/>
        <v>Bt-</v>
      </c>
      <c r="O27" s="194" t="str">
        <f>IF(I27="No",0,IF(I27="Sí",((INDEX(Dades_PA!$B$101:$Y$127,(MATCH(F27,Dades_PA!$A$101:$A$127,0)),(MATCH(J27,Dades_PA!$B$100:$Y$100,0))))*((Dades_PA!$B$131))*H27*1000),""))</f>
        <v/>
      </c>
      <c r="P27" s="194" t="str">
        <f>IF(I27="No",0,IF(I27="Sí",((INDEX(Dades_PA!$B$101:$Y$127,(MATCH(F27,Dades_PA!$A$101:$A$127,0)),(MATCH(J27,Dades_PA!$B$100:$Y$100,0))))*((Dades_PA!$C$131))*H27*1000),""))</f>
        <v/>
      </c>
      <c r="Q27" s="194" t="str">
        <f>IF(K27="No",0,IF(K27="Sí",((INDEX(Dades_PA!$B$101:$Y$127,(MATCH(F27,Dades_PA!$A$101:$A$127,0)),(MATCH(L27,Dades_PA!$B$100:$Y$100,0))))*((Dades_PA!$B$131))*H27*1000),""))</f>
        <v/>
      </c>
      <c r="R27" s="194" t="str">
        <f>IF(K27="No",0,IF(K27="Sí",((INDEX(Dades_PA!$B$101:$Y$127,(MATCH(F27,Dades_PA!$A$101:$A$127,0)),(MATCH(L27,Dades_PA!$B$100:$Y$100,0))))*((Dades_PA!$C$131))*H27*1000),""))</f>
        <v/>
      </c>
      <c r="S27" s="194" t="str">
        <f>IF(M27="No",0,IF(M27="Sí",((INDEX(Dades_PA!$B$101:$Y$127,(MATCH(F27,Dades_PA!$A$101:$A$127,0)),(MATCH(N27,Dades_PA!$B$100:$Y$100,0))))*((Dades_PA!$B$131))*H27*1000),""))</f>
        <v/>
      </c>
      <c r="T27" s="194" t="str">
        <f>IF(M27="No",0,IF(M27="Sí",((INDEX(Dades_PA!$B$101:$Y$127,(MATCH(F27,Dades_PA!$A$101:$A$127,0)),(MATCH(N27,Dades_PA!$B$100:$Y$100,0))))*((Dades_PA!$C$131))*H27*1000),""))</f>
        <v/>
      </c>
      <c r="U27" s="211" t="str">
        <f>IFERROR(((((O27+Q27+S27)*Dades_PA!$B$135)+((P27+R27+T27)*Dades_PA!$B$136))/1000),"")</f>
        <v/>
      </c>
    </row>
    <row r="28" spans="2:24" ht="15.75" customHeight="1">
      <c r="E28" s="396"/>
      <c r="F28" s="195" t="str">
        <f>IF('2.1 Absorcions arbres'!E28=0,"",'2.1 Absorcions arbres'!E28)</f>
        <v/>
      </c>
      <c r="G28" s="202" t="str">
        <f>$G$27</f>
        <v/>
      </c>
      <c r="H28" s="201" t="str">
        <f>IF('2.2 Emissions restes tallada'!I35="","",'2.2 Emissions restes tallada'!I35)</f>
        <v/>
      </c>
      <c r="I28" s="109" t="str">
        <f>IF('2.2 Emissions restes tallada'!L35="Crema","Sí",(IF('2.2 Emissions restes tallada'!L35="Descomposició","No",(IF('2.2 Emissions restes tallada'!L35="Producte","No"," ")))))</f>
        <v xml:space="preserve"> </v>
      </c>
      <c r="J28" s="109" t="str">
        <f t="shared" si="0"/>
        <v>Bb&lt;2iBf-</v>
      </c>
      <c r="K28" s="109" t="str">
        <f>IF('2.2 Emissions restes tallada'!N35="Crema","Sí",(IF('2.2 Emissions restes tallada'!N35="Descomposició","No",(IF('2.2 Emissions restes tallada'!N35="Producte","No"," ")))))</f>
        <v xml:space="preserve"> </v>
      </c>
      <c r="L28" s="109" t="str">
        <f t="shared" si="1"/>
        <v>Bb&gt;2-</v>
      </c>
      <c r="M28" s="109" t="str">
        <f>IF('2.2 Emissions restes tallada'!P35="Crema","Sí",(IF('2.2 Emissions restes tallada'!P35="Descomposició","No",(IF('2.2 Emissions restes tallada'!P35="Producte","No"," ")))))</f>
        <v xml:space="preserve"> </v>
      </c>
      <c r="N28" s="109" t="str">
        <f t="shared" si="2"/>
        <v>Bt-</v>
      </c>
      <c r="O28" s="200" t="str">
        <f>IF(I28="No",0,IF(I28="Sí",((INDEX(Dades_PA!$B$101:$Y$127,(MATCH(F28,Dades_PA!$A$101:$A$127,0)),(MATCH(J28,Dades_PA!$B$100:$Y$100,0))))*((Dades_PA!$B$131))*H28*1000),""))</f>
        <v/>
      </c>
      <c r="P28" s="200" t="str">
        <f>IF(I28="No",0,IF(I28="Sí",((INDEX(Dades_PA!$B$101:$Y$127,(MATCH(F28,Dades_PA!$A$101:$A$127,0)),(MATCH(J28,Dades_PA!$B$100:$Y$100,0))))*((Dades_PA!$C$131))*H28*1000),""))</f>
        <v/>
      </c>
      <c r="Q28" s="200" t="str">
        <f>IF(K28="No",0,IF(K28="Sí",((INDEX(Dades_PA!$B$101:$Y$127,(MATCH(F28,Dades_PA!$A$101:$A$127,0)),(MATCH(L28,Dades_PA!$B$100:$Y$100,0))))*((Dades_PA!$B$131))*H28*1000),""))</f>
        <v/>
      </c>
      <c r="R28" s="200" t="str">
        <f>IF(K28="No",0,IF(K28="Sí",((INDEX(Dades_PA!$B$101:$Y$127,(MATCH(F28,Dades_PA!$A$101:$A$127,0)),(MATCH(L28,Dades_PA!$B$100:$Y$100,0))))*((Dades_PA!$C$131))*H28*1000),""))</f>
        <v/>
      </c>
      <c r="S28" s="200" t="str">
        <f>IF(M28="No",0,IF(M28="Sí",((INDEX(Dades_PA!$B$101:$Y$127,(MATCH(F28,Dades_PA!$A$101:$A$127,0)),(MATCH(N28,Dades_PA!$B$100:$Y$100,0))))*((Dades_PA!$B$131))*H28*1000),""))</f>
        <v/>
      </c>
      <c r="T28" s="200" t="str">
        <f>IF(M28="No",0,IF(M28="Sí",((INDEX(Dades_PA!$B$101:$Y$127,(MATCH(F28,Dades_PA!$A$101:$A$127,0)),(MATCH(N28,Dades_PA!$B$100:$Y$100,0))))*((Dades_PA!$C$131))*H28*1000),""))</f>
        <v/>
      </c>
      <c r="U28" s="203" t="str">
        <f>IFERROR(((((O28+Q28+S28)*Dades_PA!$B$135)+((P28+R28+T28)*Dades_PA!$B$136))/1000),"")</f>
        <v/>
      </c>
    </row>
    <row r="29" spans="2:24" ht="18" customHeight="1">
      <c r="E29" s="396"/>
      <c r="F29" s="195" t="str">
        <f>IF('2.1 Absorcions arbres'!E29=0,"",'2.1 Absorcions arbres'!E29)</f>
        <v/>
      </c>
      <c r="G29" s="202" t="str">
        <f t="shared" ref="G29:G36" si="5">$G$27</f>
        <v/>
      </c>
      <c r="H29" s="201" t="str">
        <f>IF('2.2 Emissions restes tallada'!I36="","",'2.2 Emissions restes tallada'!I36)</f>
        <v/>
      </c>
      <c r="I29" s="109" t="str">
        <f>IF('2.2 Emissions restes tallada'!L36="Crema","Sí",(IF('2.2 Emissions restes tallada'!L36="Descomposició","No",(IF('2.2 Emissions restes tallada'!L36="Producte","No"," ")))))</f>
        <v xml:space="preserve"> </v>
      </c>
      <c r="J29" s="109" t="str">
        <f t="shared" si="0"/>
        <v>Bb&lt;2iBf-</v>
      </c>
      <c r="K29" s="109" t="str">
        <f>IF('2.2 Emissions restes tallada'!N36="Crema","Sí",(IF('2.2 Emissions restes tallada'!N36="Descomposició","No",(IF('2.2 Emissions restes tallada'!N36="Producte","No"," ")))))</f>
        <v xml:space="preserve"> </v>
      </c>
      <c r="L29" s="109" t="str">
        <f t="shared" si="1"/>
        <v>Bb&gt;2-</v>
      </c>
      <c r="M29" s="109" t="str">
        <f>IF('2.2 Emissions restes tallada'!P36="Crema","Sí",(IF('2.2 Emissions restes tallada'!P36="Descomposició","No",(IF('2.2 Emissions restes tallada'!P36="Producte","No"," ")))))</f>
        <v xml:space="preserve"> </v>
      </c>
      <c r="N29" s="109" t="str">
        <f t="shared" si="2"/>
        <v>Bt-</v>
      </c>
      <c r="O29" s="200" t="str">
        <f>IF(I29="No",0,IF(I29="Sí",((INDEX(Dades_PA!$B$101:$Y$127,(MATCH(F29,Dades_PA!$A$101:$A$127,0)),(MATCH(J29,Dades_PA!$B$100:$Y$100,0))))*((Dades_PA!$B$131))*H29*1000),""))</f>
        <v/>
      </c>
      <c r="P29" s="200" t="str">
        <f>IF(I29="No",0,IF(I29="Sí",((INDEX(Dades_PA!$B$101:$Y$127,(MATCH(F29,Dades_PA!$A$101:$A$127,0)),(MATCH(J29,Dades_PA!$B$100:$Y$100,0))))*((Dades_PA!$C$131))*H29*1000),""))</f>
        <v/>
      </c>
      <c r="Q29" s="200" t="str">
        <f>IF(K29="No",0,IF(K29="Sí",((INDEX(Dades_PA!$B$101:$Y$127,(MATCH(F29,Dades_PA!$A$101:$A$127,0)),(MATCH(L29,Dades_PA!$B$100:$Y$100,0))))*((Dades_PA!$B$131))*H29*1000),""))</f>
        <v/>
      </c>
      <c r="R29" s="200" t="str">
        <f>IF(K29="No",0,IF(K29="Sí",((INDEX(Dades_PA!$B$101:$Y$127,(MATCH(F29,Dades_PA!$A$101:$A$127,0)),(MATCH(L29,Dades_PA!$B$100:$Y$100,0))))*((Dades_PA!$C$131))*H29*1000),""))</f>
        <v/>
      </c>
      <c r="S29" s="200" t="str">
        <f>IF(M29="No",0,IF(M29="Sí",((INDEX(Dades_PA!$B$101:$Y$127,(MATCH(F29,Dades_PA!$A$101:$A$127,0)),(MATCH(N29,Dades_PA!$B$100:$Y$100,0))))*((Dades_PA!$B$131))*H29*1000),""))</f>
        <v/>
      </c>
      <c r="T29" s="200" t="str">
        <f>IF(M29="No",0,IF(M29="Sí",((INDEX(Dades_PA!$B$101:$Y$127,(MATCH(F29,Dades_PA!$A$101:$A$127,0)),(MATCH(N29,Dades_PA!$B$100:$Y$100,0))))*((Dades_PA!$C$131))*H29*1000),""))</f>
        <v/>
      </c>
      <c r="U29" s="203" t="str">
        <f>IFERROR(((((O29+Q29+S29)*Dades_PA!$B$135)+((P29+R29+T29)*Dades_PA!$B$136))/1000),"")</f>
        <v/>
      </c>
    </row>
    <row r="30" spans="2:24" ht="15.75" customHeight="1">
      <c r="E30" s="396"/>
      <c r="F30" s="195" t="str">
        <f>IF('2.1 Absorcions arbres'!E30=0,"",'2.1 Absorcions arbres'!E30)</f>
        <v/>
      </c>
      <c r="G30" s="202" t="str">
        <f t="shared" si="5"/>
        <v/>
      </c>
      <c r="H30" s="201" t="str">
        <f>IF('2.2 Emissions restes tallada'!I37="","",'2.2 Emissions restes tallada'!I37)</f>
        <v/>
      </c>
      <c r="I30" s="109" t="str">
        <f>IF('2.2 Emissions restes tallada'!L37="Crema","Sí",(IF('2.2 Emissions restes tallada'!L37="Descomposició","No",(IF('2.2 Emissions restes tallada'!L37="Producte","No"," ")))))</f>
        <v xml:space="preserve"> </v>
      </c>
      <c r="J30" s="109" t="str">
        <f t="shared" si="0"/>
        <v>Bb&lt;2iBf-</v>
      </c>
      <c r="K30" s="109" t="str">
        <f>IF('2.2 Emissions restes tallada'!N37="Crema","Sí",(IF('2.2 Emissions restes tallada'!N37="Descomposició","No",(IF('2.2 Emissions restes tallada'!N37="Producte","No"," ")))))</f>
        <v xml:space="preserve"> </v>
      </c>
      <c r="L30" s="109" t="str">
        <f t="shared" si="1"/>
        <v>Bb&gt;2-</v>
      </c>
      <c r="M30" s="109" t="str">
        <f>IF('2.2 Emissions restes tallada'!P37="Crema","Sí",(IF('2.2 Emissions restes tallada'!P37="Descomposició","No",(IF('2.2 Emissions restes tallada'!P37="Producte","No"," ")))))</f>
        <v xml:space="preserve"> </v>
      </c>
      <c r="N30" s="109" t="str">
        <f t="shared" si="2"/>
        <v>Bt-</v>
      </c>
      <c r="O30" s="200" t="str">
        <f>IF(I30="No",0,IF(I30="Sí",((INDEX(Dades_PA!$B$101:$Y$127,(MATCH(F30,Dades_PA!$A$101:$A$127,0)),(MATCH(J30,Dades_PA!$B$100:$Y$100,0))))*((Dades_PA!$B$131))*H30*1000),""))</f>
        <v/>
      </c>
      <c r="P30" s="200" t="str">
        <f>IF(I30="No",0,IF(I30="Sí",((INDEX(Dades_PA!$B$101:$Y$127,(MATCH(F30,Dades_PA!$A$101:$A$127,0)),(MATCH(J30,Dades_PA!$B$100:$Y$100,0))))*((Dades_PA!$C$131))*H30*1000),""))</f>
        <v/>
      </c>
      <c r="Q30" s="200" t="str">
        <f>IF(K30="No",0,IF(K30="Sí",((INDEX(Dades_PA!$B$101:$Y$127,(MATCH(F30,Dades_PA!$A$101:$A$127,0)),(MATCH(L30,Dades_PA!$B$100:$Y$100,0))))*((Dades_PA!$B$131))*H30*1000),""))</f>
        <v/>
      </c>
      <c r="R30" s="200" t="str">
        <f>IF(K30="No",0,IF(K30="Sí",((INDEX(Dades_PA!$B$101:$Y$127,(MATCH(F30,Dades_PA!$A$101:$A$127,0)),(MATCH(L30,Dades_PA!$B$100:$Y$100,0))))*((Dades_PA!$C$131))*H30*1000),""))</f>
        <v/>
      </c>
      <c r="S30" s="200" t="str">
        <f>IF(M30="No",0,IF(M30="Sí",((INDEX(Dades_PA!$B$101:$Y$127,(MATCH(F30,Dades_PA!$A$101:$A$127,0)),(MATCH(N30,Dades_PA!$B$100:$Y$100,0))))*((Dades_PA!$B$131))*H30*1000),""))</f>
        <v/>
      </c>
      <c r="T30" s="200" t="str">
        <f>IF(M30="No",0,IF(M30="Sí",((INDEX(Dades_PA!$B$101:$Y$127,(MATCH(F30,Dades_PA!$A$101:$A$127,0)),(MATCH(N30,Dades_PA!$B$100:$Y$100,0))))*((Dades_PA!$C$131))*H30*1000),""))</f>
        <v/>
      </c>
      <c r="U30" s="203" t="str">
        <f>IFERROR(((((O30+Q30+S30)*Dades_PA!$B$135)+((P30+R30+T30)*Dades_PA!$B$136))/1000),"")</f>
        <v/>
      </c>
    </row>
    <row r="31" spans="2:24" s="58" customFormat="1" ht="15.75" customHeight="1">
      <c r="B31" s="45"/>
      <c r="C31" s="45"/>
      <c r="D31" s="59"/>
      <c r="E31" s="396"/>
      <c r="F31" s="195" t="str">
        <f>IF('2.1 Absorcions arbres'!E31=0,"",'2.1 Absorcions arbres'!E31)</f>
        <v/>
      </c>
      <c r="G31" s="202" t="str">
        <f t="shared" si="5"/>
        <v/>
      </c>
      <c r="H31" s="201" t="str">
        <f>IF('2.2 Emissions restes tallada'!I38="","",'2.2 Emissions restes tallada'!I38)</f>
        <v/>
      </c>
      <c r="I31" s="109" t="str">
        <f>IF('2.2 Emissions restes tallada'!L38="Crema","Sí",(IF('2.2 Emissions restes tallada'!L38="Descomposició","No",(IF('2.2 Emissions restes tallada'!L38="Producte","No"," ")))))</f>
        <v xml:space="preserve"> </v>
      </c>
      <c r="J31" s="109" t="str">
        <f t="shared" si="0"/>
        <v>Bb&lt;2iBf-</v>
      </c>
      <c r="K31" s="109" t="str">
        <f>IF('2.2 Emissions restes tallada'!N38="Crema","Sí",(IF('2.2 Emissions restes tallada'!N38="Descomposició","No",(IF('2.2 Emissions restes tallada'!N38="Producte","No"," ")))))</f>
        <v xml:space="preserve"> </v>
      </c>
      <c r="L31" s="109" t="str">
        <f t="shared" si="1"/>
        <v>Bb&gt;2-</v>
      </c>
      <c r="M31" s="109" t="str">
        <f>IF('2.2 Emissions restes tallada'!P38="Crema","Sí",(IF('2.2 Emissions restes tallada'!P38="Descomposició","No",(IF('2.2 Emissions restes tallada'!P38="Producte","No"," ")))))</f>
        <v xml:space="preserve"> </v>
      </c>
      <c r="N31" s="109" t="str">
        <f t="shared" si="2"/>
        <v>Bt-</v>
      </c>
      <c r="O31" s="200" t="str">
        <f>IF(I31="No",0,IF(I31="Sí",((INDEX(Dades_PA!$B$101:$Y$127,(MATCH(F31,Dades_PA!$A$101:$A$127,0)),(MATCH(J31,Dades_PA!$B$100:$Y$100,0))))*((Dades_PA!$B$131))*H31*1000),""))</f>
        <v/>
      </c>
      <c r="P31" s="200" t="str">
        <f>IF(I31="No",0,IF(I31="Sí",((INDEX(Dades_PA!$B$101:$Y$127,(MATCH(F31,Dades_PA!$A$101:$A$127,0)),(MATCH(J31,Dades_PA!$B$100:$Y$100,0))))*((Dades_PA!$C$131))*H31*1000),""))</f>
        <v/>
      </c>
      <c r="Q31" s="200" t="str">
        <f>IF(K31="No",0,IF(K31="Sí",((INDEX(Dades_PA!$B$101:$Y$127,(MATCH(F31,Dades_PA!$A$101:$A$127,0)),(MATCH(L31,Dades_PA!$B$100:$Y$100,0))))*((Dades_PA!$B$131))*H31*1000),""))</f>
        <v/>
      </c>
      <c r="R31" s="200" t="str">
        <f>IF(K31="No",0,IF(K31="Sí",((INDEX(Dades_PA!$B$101:$Y$127,(MATCH(F31,Dades_PA!$A$101:$A$127,0)),(MATCH(L31,Dades_PA!$B$100:$Y$100,0))))*((Dades_PA!$C$131))*H31*1000),""))</f>
        <v/>
      </c>
      <c r="S31" s="200" t="str">
        <f>IF(M31="No",0,IF(M31="Sí",((INDEX(Dades_PA!$B$101:$Y$127,(MATCH(F31,Dades_PA!$A$101:$A$127,0)),(MATCH(N31,Dades_PA!$B$100:$Y$100,0))))*((Dades_PA!$B$131))*H31*1000),""))</f>
        <v/>
      </c>
      <c r="T31" s="200" t="str">
        <f>IF(M31="No",0,IF(M31="Sí",((INDEX(Dades_PA!$B$101:$Y$127,(MATCH(F31,Dades_PA!$A$101:$A$127,0)),(MATCH(N31,Dades_PA!$B$100:$Y$100,0))))*((Dades_PA!$C$131))*H31*1000),""))</f>
        <v/>
      </c>
      <c r="U31" s="203" t="str">
        <f>IFERROR(((((O31+Q31+S31)*Dades_PA!$B$135)+((P31+R31+T31)*Dades_PA!$B$136))/1000),"")</f>
        <v/>
      </c>
      <c r="V31" s="59"/>
      <c r="W31" s="59"/>
      <c r="X31" s="59"/>
    </row>
    <row r="32" spans="2:24" ht="15" customHeight="1">
      <c r="E32" s="396"/>
      <c r="F32" s="195" t="str">
        <f>IF('2.1 Absorcions arbres'!E32=0,"",'2.1 Absorcions arbres'!E32)</f>
        <v/>
      </c>
      <c r="G32" s="202" t="str">
        <f t="shared" si="5"/>
        <v/>
      </c>
      <c r="H32" s="201" t="str">
        <f>IF('2.2 Emissions restes tallada'!I39="","",'2.2 Emissions restes tallada'!I39)</f>
        <v/>
      </c>
      <c r="I32" s="109" t="str">
        <f>IF('2.2 Emissions restes tallada'!L39="Crema","Sí",(IF('2.2 Emissions restes tallada'!L39="Descomposició","No",(IF('2.2 Emissions restes tallada'!L39="Producte","No"," ")))))</f>
        <v xml:space="preserve"> </v>
      </c>
      <c r="J32" s="109" t="str">
        <f t="shared" si="0"/>
        <v>Bb&lt;2iBf-</v>
      </c>
      <c r="K32" s="109" t="str">
        <f>IF('2.2 Emissions restes tallada'!N39="Crema","Sí",(IF('2.2 Emissions restes tallada'!N39="Descomposició","No",(IF('2.2 Emissions restes tallada'!N39="Producte","No"," ")))))</f>
        <v xml:space="preserve"> </v>
      </c>
      <c r="L32" s="109" t="str">
        <f t="shared" si="1"/>
        <v>Bb&gt;2-</v>
      </c>
      <c r="M32" s="109" t="str">
        <f>IF('2.2 Emissions restes tallada'!P39="Crema","Sí",(IF('2.2 Emissions restes tallada'!P39="Descomposició","No",(IF('2.2 Emissions restes tallada'!P39="Producte","No"," ")))))</f>
        <v xml:space="preserve"> </v>
      </c>
      <c r="N32" s="109" t="str">
        <f t="shared" si="2"/>
        <v>Bt-</v>
      </c>
      <c r="O32" s="200" t="str">
        <f>IF(I32="No",0,IF(I32="Sí",((INDEX(Dades_PA!$B$101:$Y$127,(MATCH(F32,Dades_PA!$A$101:$A$127,0)),(MATCH(J32,Dades_PA!$B$100:$Y$100,0))))*((Dades_PA!$B$131))*H32*1000),""))</f>
        <v/>
      </c>
      <c r="P32" s="200" t="str">
        <f>IF(I32="No",0,IF(I32="Sí",((INDEX(Dades_PA!$B$101:$Y$127,(MATCH(F32,Dades_PA!$A$101:$A$127,0)),(MATCH(J32,Dades_PA!$B$100:$Y$100,0))))*((Dades_PA!$C$131))*H32*1000),""))</f>
        <v/>
      </c>
      <c r="Q32" s="200" t="str">
        <f>IF(K32="No",0,IF(K32="Sí",((INDEX(Dades_PA!$B$101:$Y$127,(MATCH(F32,Dades_PA!$A$101:$A$127,0)),(MATCH(L32,Dades_PA!$B$100:$Y$100,0))))*((Dades_PA!$B$131))*H32*1000),""))</f>
        <v/>
      </c>
      <c r="R32" s="200" t="str">
        <f>IF(K32="No",0,IF(K32="Sí",((INDEX(Dades_PA!$B$101:$Y$127,(MATCH(F32,Dades_PA!$A$101:$A$127,0)),(MATCH(L32,Dades_PA!$B$100:$Y$100,0))))*((Dades_PA!$C$131))*H32*1000),""))</f>
        <v/>
      </c>
      <c r="S32" s="200" t="str">
        <f>IF(M32="No",0,IF(M32="Sí",((INDEX(Dades_PA!$B$101:$Y$127,(MATCH(F32,Dades_PA!$A$101:$A$127,0)),(MATCH(N32,Dades_PA!$B$100:$Y$100,0))))*((Dades_PA!$B$131))*H32*1000),""))</f>
        <v/>
      </c>
      <c r="T32" s="200" t="str">
        <f>IF(M32="No",0,IF(M32="Sí",((INDEX(Dades_PA!$B$101:$Y$127,(MATCH(F32,Dades_PA!$A$101:$A$127,0)),(MATCH(N32,Dades_PA!$B$100:$Y$100,0))))*((Dades_PA!$C$131))*H32*1000),""))</f>
        <v/>
      </c>
      <c r="U32" s="203" t="str">
        <f>IFERROR(((((O32+Q32+S32)*Dades_PA!$B$135)+((P32+R32+T32)*Dades_PA!$B$136))/1000),"")</f>
        <v/>
      </c>
    </row>
    <row r="33" spans="5:21" ht="15.75" customHeight="1">
      <c r="E33" s="396"/>
      <c r="F33" s="195" t="str">
        <f>IF('2.1 Absorcions arbres'!E33=0,"",'2.1 Absorcions arbres'!E33)</f>
        <v/>
      </c>
      <c r="G33" s="202" t="str">
        <f t="shared" si="5"/>
        <v/>
      </c>
      <c r="H33" s="201" t="str">
        <f>IF('2.2 Emissions restes tallada'!I40="","",'2.2 Emissions restes tallada'!I40)</f>
        <v/>
      </c>
      <c r="I33" s="109" t="str">
        <f>IF('2.2 Emissions restes tallada'!L40="Crema","Sí",(IF('2.2 Emissions restes tallada'!L40="Descomposició","No",(IF('2.2 Emissions restes tallada'!L40="Producte","No"," ")))))</f>
        <v xml:space="preserve"> </v>
      </c>
      <c r="J33" s="109" t="str">
        <f t="shared" si="0"/>
        <v>Bb&lt;2iBf-</v>
      </c>
      <c r="K33" s="109" t="str">
        <f>IF('2.2 Emissions restes tallada'!N40="Crema","Sí",(IF('2.2 Emissions restes tallada'!N40="Descomposició","No",(IF('2.2 Emissions restes tallada'!N40="Producte","No"," ")))))</f>
        <v xml:space="preserve"> </v>
      </c>
      <c r="L33" s="109" t="str">
        <f t="shared" si="1"/>
        <v>Bb&gt;2-</v>
      </c>
      <c r="M33" s="109" t="str">
        <f>IF('2.2 Emissions restes tallada'!P40="Crema","Sí",(IF('2.2 Emissions restes tallada'!P40="Descomposició","No",(IF('2.2 Emissions restes tallada'!P40="Producte","No"," ")))))</f>
        <v xml:space="preserve"> </v>
      </c>
      <c r="N33" s="109" t="str">
        <f t="shared" si="2"/>
        <v>Bt-</v>
      </c>
      <c r="O33" s="200" t="str">
        <f>IF(I33="No",0,IF(I33="Sí",((INDEX(Dades_PA!$B$101:$Y$127,(MATCH(F33,Dades_PA!$A$101:$A$127,0)),(MATCH(J33,Dades_PA!$B$100:$Y$100,0))))*((Dades_PA!$B$131))*H33*1000),""))</f>
        <v/>
      </c>
      <c r="P33" s="200" t="str">
        <f>IF(I33="No",0,IF(I33="Sí",((INDEX(Dades_PA!$B$101:$Y$127,(MATCH(F33,Dades_PA!$A$101:$A$127,0)),(MATCH(J33,Dades_PA!$B$100:$Y$100,0))))*((Dades_PA!$C$131))*H33*1000),""))</f>
        <v/>
      </c>
      <c r="Q33" s="200" t="str">
        <f>IF(K33="No",0,IF(K33="Sí",((INDEX(Dades_PA!$B$101:$Y$127,(MATCH(F33,Dades_PA!$A$101:$A$127,0)),(MATCH(L33,Dades_PA!$B$100:$Y$100,0))))*((Dades_PA!$B$131))*H33*1000),""))</f>
        <v/>
      </c>
      <c r="R33" s="200" t="str">
        <f>IF(K33="No",0,IF(K33="Sí",((INDEX(Dades_PA!$B$101:$Y$127,(MATCH(F33,Dades_PA!$A$101:$A$127,0)),(MATCH(L33,Dades_PA!$B$100:$Y$100,0))))*((Dades_PA!$C$131))*H33*1000),""))</f>
        <v/>
      </c>
      <c r="S33" s="200" t="str">
        <f>IF(M33="No",0,IF(M33="Sí",((INDEX(Dades_PA!$B$101:$Y$127,(MATCH(F33,Dades_PA!$A$101:$A$127,0)),(MATCH(N33,Dades_PA!$B$100:$Y$100,0))))*((Dades_PA!$B$131))*H33*1000),""))</f>
        <v/>
      </c>
      <c r="T33" s="200" t="str">
        <f>IF(M33="No",0,IF(M33="Sí",((INDEX(Dades_PA!$B$101:$Y$127,(MATCH(F33,Dades_PA!$A$101:$A$127,0)),(MATCH(N33,Dades_PA!$B$100:$Y$100,0))))*((Dades_PA!$C$131))*H33*1000),""))</f>
        <v/>
      </c>
      <c r="U33" s="203" t="str">
        <f>IFERROR(((((O33+Q33+S33)*Dades_PA!$B$135)+((P33+R33+T33)*Dades_PA!$B$136))/1000),"")</f>
        <v/>
      </c>
    </row>
    <row r="34" spans="5:21" ht="15.75" customHeight="1">
      <c r="E34" s="396"/>
      <c r="F34" s="195" t="str">
        <f>IF('2.1 Absorcions arbres'!E34=0,"",'2.1 Absorcions arbres'!E34)</f>
        <v/>
      </c>
      <c r="G34" s="202" t="str">
        <f t="shared" si="5"/>
        <v/>
      </c>
      <c r="H34" s="201" t="str">
        <f>IF('2.2 Emissions restes tallada'!I41="","",'2.2 Emissions restes tallada'!I41)</f>
        <v/>
      </c>
      <c r="I34" s="109" t="str">
        <f>IF('2.2 Emissions restes tallada'!L41="Crema","Sí",(IF('2.2 Emissions restes tallada'!L41="Descomposició","No",(IF('2.2 Emissions restes tallada'!L41="Producte","No"," ")))))</f>
        <v xml:space="preserve"> </v>
      </c>
      <c r="J34" s="109" t="str">
        <f t="shared" si="0"/>
        <v>Bb&lt;2iBf-</v>
      </c>
      <c r="K34" s="109" t="str">
        <f>IF('2.2 Emissions restes tallada'!N41="Crema","Sí",(IF('2.2 Emissions restes tallada'!N41="Descomposició","No",(IF('2.2 Emissions restes tallada'!N41="Producte","No"," ")))))</f>
        <v xml:space="preserve"> </v>
      </c>
      <c r="L34" s="109" t="str">
        <f t="shared" si="1"/>
        <v>Bb&gt;2-</v>
      </c>
      <c r="M34" s="109" t="str">
        <f>IF('2.2 Emissions restes tallada'!P41="Crema","Sí",(IF('2.2 Emissions restes tallada'!P41="Descomposició","No",(IF('2.2 Emissions restes tallada'!P41="Producte","No"," ")))))</f>
        <v xml:space="preserve"> </v>
      </c>
      <c r="N34" s="109" t="str">
        <f t="shared" si="2"/>
        <v>Bt-</v>
      </c>
      <c r="O34" s="200" t="str">
        <f>IF(I34="No",0,IF(I34="Sí",((INDEX(Dades_PA!$B$101:$Y$127,(MATCH(F34,Dades_PA!$A$101:$A$127,0)),(MATCH(J34,Dades_PA!$B$100:$Y$100,0))))*((Dades_PA!$B$131))*H34*1000),""))</f>
        <v/>
      </c>
      <c r="P34" s="200" t="str">
        <f>IF(I34="No",0,IF(I34="Sí",((INDEX(Dades_PA!$B$101:$Y$127,(MATCH(F34,Dades_PA!$A$101:$A$127,0)),(MATCH(J34,Dades_PA!$B$100:$Y$100,0))))*((Dades_PA!$C$131))*H34*1000),""))</f>
        <v/>
      </c>
      <c r="Q34" s="200" t="str">
        <f>IF(K34="No",0,IF(K34="Sí",((INDEX(Dades_PA!$B$101:$Y$127,(MATCH(F34,Dades_PA!$A$101:$A$127,0)),(MATCH(L34,Dades_PA!$B$100:$Y$100,0))))*((Dades_PA!$B$131))*H34*1000),""))</f>
        <v/>
      </c>
      <c r="R34" s="200" t="str">
        <f>IF(K34="No",0,IF(K34="Sí",((INDEX(Dades_PA!$B$101:$Y$127,(MATCH(F34,Dades_PA!$A$101:$A$127,0)),(MATCH(L34,Dades_PA!$B$100:$Y$100,0))))*((Dades_PA!$C$131))*H34*1000),""))</f>
        <v/>
      </c>
      <c r="S34" s="200" t="str">
        <f>IF(M34="No",0,IF(M34="Sí",((INDEX(Dades_PA!$B$101:$Y$127,(MATCH(F34,Dades_PA!$A$101:$A$127,0)),(MATCH(N34,Dades_PA!$B$100:$Y$100,0))))*((Dades_PA!$B$131))*H34*1000),""))</f>
        <v/>
      </c>
      <c r="T34" s="200" t="str">
        <f>IF(M34="No",0,IF(M34="Sí",((INDEX(Dades_PA!$B$101:$Y$127,(MATCH(F34,Dades_PA!$A$101:$A$127,0)),(MATCH(N34,Dades_PA!$B$100:$Y$100,0))))*((Dades_PA!$C$131))*H34*1000),""))</f>
        <v/>
      </c>
      <c r="U34" s="203" t="str">
        <f>IFERROR(((((O34+Q34+S34)*Dades_PA!$B$135)+((P34+R34+T34)*Dades_PA!$B$136))/1000),"")</f>
        <v/>
      </c>
    </row>
    <row r="35" spans="5:21" ht="15" customHeight="1">
      <c r="E35" s="396"/>
      <c r="F35" s="195" t="str">
        <f>IF('2.1 Absorcions arbres'!E35=0,"",'2.1 Absorcions arbres'!E35)</f>
        <v/>
      </c>
      <c r="G35" s="202" t="str">
        <f t="shared" si="5"/>
        <v/>
      </c>
      <c r="H35" s="201" t="str">
        <f>IF('2.2 Emissions restes tallada'!I42="","",'2.2 Emissions restes tallada'!I42)</f>
        <v/>
      </c>
      <c r="I35" s="109" t="str">
        <f>IF('2.2 Emissions restes tallada'!L42="Crema","Sí",(IF('2.2 Emissions restes tallada'!L42="Descomposició","No",(IF('2.2 Emissions restes tallada'!L42="Producte","No"," ")))))</f>
        <v xml:space="preserve"> </v>
      </c>
      <c r="J35" s="109" t="str">
        <f t="shared" si="0"/>
        <v>Bb&lt;2iBf-</v>
      </c>
      <c r="K35" s="109" t="str">
        <f>IF('2.2 Emissions restes tallada'!N42="Crema","Sí",(IF('2.2 Emissions restes tallada'!N42="Descomposició","No",(IF('2.2 Emissions restes tallada'!N42="Producte","No"," ")))))</f>
        <v xml:space="preserve"> </v>
      </c>
      <c r="L35" s="109" t="str">
        <f t="shared" si="1"/>
        <v>Bb&gt;2-</v>
      </c>
      <c r="M35" s="109" t="str">
        <f>IF('2.2 Emissions restes tallada'!P42="Crema","Sí",(IF('2.2 Emissions restes tallada'!P42="Descomposició","No",(IF('2.2 Emissions restes tallada'!P42="Producte","No"," ")))))</f>
        <v xml:space="preserve"> </v>
      </c>
      <c r="N35" s="109" t="str">
        <f t="shared" si="2"/>
        <v>Bt-</v>
      </c>
      <c r="O35" s="200" t="str">
        <f>IF(I35="No",0,IF(I35="Sí",((INDEX(Dades_PA!$B$101:$Y$127,(MATCH(F35,Dades_PA!$A$101:$A$127,0)),(MATCH(J35,Dades_PA!$B$100:$Y$100,0))))*((Dades_PA!$B$131))*H35*1000),""))</f>
        <v/>
      </c>
      <c r="P35" s="200" t="str">
        <f>IF(I35="No",0,IF(I35="Sí",((INDEX(Dades_PA!$B$101:$Y$127,(MATCH(F35,Dades_PA!$A$101:$A$127,0)),(MATCH(J35,Dades_PA!$B$100:$Y$100,0))))*((Dades_PA!$C$131))*H35*1000),""))</f>
        <v/>
      </c>
      <c r="Q35" s="200" t="str">
        <f>IF(K35="No",0,IF(K35="Sí",((INDEX(Dades_PA!$B$101:$Y$127,(MATCH(F35,Dades_PA!$A$101:$A$127,0)),(MATCH(L35,Dades_PA!$B$100:$Y$100,0))))*((Dades_PA!$B$131))*H35*1000),""))</f>
        <v/>
      </c>
      <c r="R35" s="200" t="str">
        <f>IF(K35="No",0,IF(K35="Sí",((INDEX(Dades_PA!$B$101:$Y$127,(MATCH(F35,Dades_PA!$A$101:$A$127,0)),(MATCH(L35,Dades_PA!$B$100:$Y$100,0))))*((Dades_PA!$C$131))*H35*1000),""))</f>
        <v/>
      </c>
      <c r="S35" s="200" t="str">
        <f>IF(M35="No",0,IF(M35="Sí",((INDEX(Dades_PA!$B$101:$Y$127,(MATCH(F35,Dades_PA!$A$101:$A$127,0)),(MATCH(N35,Dades_PA!$B$100:$Y$100,0))))*((Dades_PA!$B$131))*H35*1000),""))</f>
        <v/>
      </c>
      <c r="T35" s="200" t="str">
        <f>IF(M35="No",0,IF(M35="Sí",((INDEX(Dades_PA!$B$101:$Y$127,(MATCH(F35,Dades_PA!$A$101:$A$127,0)),(MATCH(N35,Dades_PA!$B$100:$Y$100,0))))*((Dades_PA!$C$131))*H35*1000),""))</f>
        <v/>
      </c>
      <c r="U35" s="203" t="str">
        <f>IFERROR(((((O35+Q35+S35)*Dades_PA!$B$135)+((P35+R35+T35)*Dades_PA!$B$136))/1000),"")</f>
        <v/>
      </c>
    </row>
    <row r="36" spans="5:21" ht="16.5" customHeight="1" thickBot="1">
      <c r="E36" s="397"/>
      <c r="F36" s="196" t="str">
        <f>IF('2.1 Absorcions arbres'!E36=0,"",'2.1 Absorcions arbres'!E36)</f>
        <v/>
      </c>
      <c r="G36" s="212" t="str">
        <f t="shared" si="5"/>
        <v/>
      </c>
      <c r="H36" s="213" t="str">
        <f>IF('2.2 Emissions restes tallada'!I43="","",'2.2 Emissions restes tallada'!I43)</f>
        <v/>
      </c>
      <c r="I36" s="113" t="str">
        <f>IF('2.2 Emissions restes tallada'!L43="Crema","Sí",(IF('2.2 Emissions restes tallada'!L43="Descomposició","No",(IF('2.2 Emissions restes tallada'!L43="Producte","No"," ")))))</f>
        <v xml:space="preserve"> </v>
      </c>
      <c r="J36" s="113" t="str">
        <f t="shared" si="0"/>
        <v>Bb&lt;2iBf-</v>
      </c>
      <c r="K36" s="113" t="str">
        <f>IF('2.2 Emissions restes tallada'!N43="Crema","Sí",(IF('2.2 Emissions restes tallada'!N43="Descomposició","No",(IF('2.2 Emissions restes tallada'!N43="Producte","No"," ")))))</f>
        <v xml:space="preserve"> </v>
      </c>
      <c r="L36" s="113" t="str">
        <f t="shared" si="1"/>
        <v>Bb&gt;2-</v>
      </c>
      <c r="M36" s="113" t="str">
        <f>IF('2.2 Emissions restes tallada'!P43="Crema","Sí",(IF('2.2 Emissions restes tallada'!P43="Descomposició","No",(IF('2.2 Emissions restes tallada'!P43="Producte","No"," ")))))</f>
        <v xml:space="preserve"> </v>
      </c>
      <c r="N36" s="113" t="str">
        <f t="shared" si="2"/>
        <v>Bt-</v>
      </c>
      <c r="O36" s="214" t="str">
        <f>IF(I36="No",0,IF(I36="Sí",((INDEX(Dades_PA!$B$101:$Y$127,(MATCH(F36,Dades_PA!$A$101:$A$127,0)),(MATCH(J36,Dades_PA!$B$100:$Y$100,0))))*((Dades_PA!$B$131))*H36*1000),""))</f>
        <v/>
      </c>
      <c r="P36" s="214" t="str">
        <f>IF(I36="No",0,IF(I36="Sí",((INDEX(Dades_PA!$B$101:$Y$127,(MATCH(F36,Dades_PA!$A$101:$A$127,0)),(MATCH(J36,Dades_PA!$B$100:$Y$100,0))))*((Dades_PA!$C$131))*H36*1000),""))</f>
        <v/>
      </c>
      <c r="Q36" s="214" t="str">
        <f>IF(K36="No",0,IF(K36="Sí",((INDEX(Dades_PA!$B$101:$Y$127,(MATCH(F36,Dades_PA!$A$101:$A$127,0)),(MATCH(L36,Dades_PA!$B$100:$Y$100,0))))*((Dades_PA!$B$131))*H36*1000),""))</f>
        <v/>
      </c>
      <c r="R36" s="214" t="str">
        <f>IF(K36="No",0,IF(K36="Sí",((INDEX(Dades_PA!$B$101:$Y$127,(MATCH(F36,Dades_PA!$A$101:$A$127,0)),(MATCH(L36,Dades_PA!$B$100:$Y$100,0))))*((Dades_PA!$C$131))*H36*1000),""))</f>
        <v/>
      </c>
      <c r="S36" s="214" t="str">
        <f>IF(M36="No",0,IF(M36="Sí",((INDEX(Dades_PA!$B$101:$Y$127,(MATCH(F36,Dades_PA!$A$101:$A$127,0)),(MATCH(N36,Dades_PA!$B$100:$Y$100,0))))*((Dades_PA!$B$131))*H36*1000),""))</f>
        <v/>
      </c>
      <c r="T36" s="214" t="str">
        <f>IF(M36="No",0,IF(M36="Sí",((INDEX(Dades_PA!$B$101:$Y$127,(MATCH(F36,Dades_PA!$A$101:$A$127,0)),(MATCH(N36,Dades_PA!$B$100:$Y$100,0))))*((Dades_PA!$C$131))*H36*1000),""))</f>
        <v/>
      </c>
      <c r="U36" s="215" t="str">
        <f>IFERROR(((((O36+Q36+S36)*Dades_PA!$B$135)+((P36+R36+T36)*Dades_PA!$B$136))/1000),"")</f>
        <v/>
      </c>
    </row>
    <row r="37" spans="5:21" ht="16.5" customHeight="1">
      <c r="E37" s="395" t="str">
        <f>IF(('1. Dades generals del projecte'!D33)="","",('1. Dades generals del projecte'!D33))</f>
        <v/>
      </c>
      <c r="F37" s="194" t="str">
        <f>IF('2.1 Absorcions arbres'!E37=0,"",'2.1 Absorcions arbres'!E37)</f>
        <v/>
      </c>
      <c r="G37" s="209" t="str">
        <f>IF(('2.1 Absorcions arbres'!H37&gt;0),('2.1 Absorcions arbres'!H37),"")</f>
        <v/>
      </c>
      <c r="H37" s="210" t="str">
        <f>IF('2.2 Emissions restes tallada'!I44="","",'2.2 Emissions restes tallada'!I44)</f>
        <v/>
      </c>
      <c r="I37" s="105" t="str">
        <f>IF('2.2 Emissions restes tallada'!L44="Crema","Sí",(IF('2.2 Emissions restes tallada'!L44="Descomposició","No",(IF('2.2 Emissions restes tallada'!L44="Producte","No"," ")))))</f>
        <v xml:space="preserve"> </v>
      </c>
      <c r="J37" s="105" t="str">
        <f t="shared" si="0"/>
        <v>Bb&lt;2iBf-</v>
      </c>
      <c r="K37" s="105" t="str">
        <f>IF('2.2 Emissions restes tallada'!N44="Crema","Sí",(IF('2.2 Emissions restes tallada'!N44="Descomposició","No",(IF('2.2 Emissions restes tallada'!N44="Producte","No"," ")))))</f>
        <v xml:space="preserve"> </v>
      </c>
      <c r="L37" s="105" t="str">
        <f t="shared" si="1"/>
        <v>Bb&gt;2-</v>
      </c>
      <c r="M37" s="105" t="str">
        <f>IF('2.2 Emissions restes tallada'!P44="Crema","Sí",(IF('2.2 Emissions restes tallada'!P44="Descomposició","No",(IF('2.2 Emissions restes tallada'!P44="Producte","No"," ")))))</f>
        <v xml:space="preserve"> </v>
      </c>
      <c r="N37" s="105" t="str">
        <f t="shared" si="2"/>
        <v>Bt-</v>
      </c>
      <c r="O37" s="194" t="str">
        <f>IF(I37="No",0,IF(I37="Sí",((INDEX(Dades_PA!$B$101:$Y$127,(MATCH(F37,Dades_PA!$A$101:$A$127,0)),(MATCH(J37,Dades_PA!$B$100:$Y$100,0))))*((Dades_PA!$B$131))*H37*1000),""))</f>
        <v/>
      </c>
      <c r="P37" s="194" t="str">
        <f>IF(I37="No",0,IF(I37="Sí",((INDEX(Dades_PA!$B$101:$Y$127,(MATCH(F37,Dades_PA!$A$101:$A$127,0)),(MATCH(J37,Dades_PA!$B$100:$Y$100,0))))*((Dades_PA!$C$131))*H37*1000),""))</f>
        <v/>
      </c>
      <c r="Q37" s="194" t="str">
        <f>IF(K37="No",0,IF(K37="Sí",((INDEX(Dades_PA!$B$101:$Y$127,(MATCH(F37,Dades_PA!$A$101:$A$127,0)),(MATCH(L37,Dades_PA!$B$100:$Y$100,0))))*((Dades_PA!$B$131))*H37*1000),""))</f>
        <v/>
      </c>
      <c r="R37" s="194" t="str">
        <f>IF(K37="No",0,IF(K37="Sí",((INDEX(Dades_PA!$B$101:$Y$127,(MATCH(F37,Dades_PA!$A$101:$A$127,0)),(MATCH(L37,Dades_PA!$B$100:$Y$100,0))))*((Dades_PA!$C$131))*H37*1000),""))</f>
        <v/>
      </c>
      <c r="S37" s="194" t="str">
        <f>IF(M37="No",0,IF(M37="Sí",((INDEX(Dades_PA!$B$101:$Y$127,(MATCH(F37,Dades_PA!$A$101:$A$127,0)),(MATCH(N37,Dades_PA!$B$100:$Y$100,0))))*((Dades_PA!$B$131))*H37*1000),""))</f>
        <v/>
      </c>
      <c r="T37" s="194" t="str">
        <f>IF(M37="No",0,IF(M37="Sí",((INDEX(Dades_PA!$B$101:$Y$127,(MATCH(F37,Dades_PA!$A$101:$A$127,0)),(MATCH(N37,Dades_PA!$B$100:$Y$100,0))))*((Dades_PA!$C$131))*H37*1000),""))</f>
        <v/>
      </c>
      <c r="U37" s="211" t="str">
        <f>IFERROR(((((O37+Q37+S37)*Dades_PA!$B$135)+((P37+R37+T37)*Dades_PA!$B$136))/1000),"")</f>
        <v/>
      </c>
    </row>
    <row r="38" spans="5:21" ht="16.5" customHeight="1">
      <c r="E38" s="396"/>
      <c r="F38" s="195" t="str">
        <f>IF('2.1 Absorcions arbres'!E38=0,"",'2.1 Absorcions arbres'!E38)</f>
        <v/>
      </c>
      <c r="G38" s="202" t="str">
        <f>$G$37</f>
        <v/>
      </c>
      <c r="H38" s="201" t="str">
        <f>IF('2.2 Emissions restes tallada'!I45="","",'2.2 Emissions restes tallada'!I45)</f>
        <v/>
      </c>
      <c r="I38" s="109" t="str">
        <f>IF('2.2 Emissions restes tallada'!L45="Crema","Sí",(IF('2.2 Emissions restes tallada'!L45="Descomposició","No",(IF('2.2 Emissions restes tallada'!L45="Producte","No"," ")))))</f>
        <v xml:space="preserve"> </v>
      </c>
      <c r="J38" s="109" t="str">
        <f t="shared" si="0"/>
        <v>Bb&lt;2iBf-</v>
      </c>
      <c r="K38" s="109" t="str">
        <f>IF('2.2 Emissions restes tallada'!N45="Crema","Sí",(IF('2.2 Emissions restes tallada'!N45="Descomposició","No",(IF('2.2 Emissions restes tallada'!N45="Producte","No"," ")))))</f>
        <v xml:space="preserve"> </v>
      </c>
      <c r="L38" s="109" t="str">
        <f t="shared" si="1"/>
        <v>Bb&gt;2-</v>
      </c>
      <c r="M38" s="109" t="str">
        <f>IF('2.2 Emissions restes tallada'!P45="Crema","Sí",(IF('2.2 Emissions restes tallada'!P45="Descomposició","No",(IF('2.2 Emissions restes tallada'!P45="Producte","No"," ")))))</f>
        <v xml:space="preserve"> </v>
      </c>
      <c r="N38" s="109" t="str">
        <f t="shared" si="2"/>
        <v>Bt-</v>
      </c>
      <c r="O38" s="200" t="str">
        <f>IF(I38="No",0,IF(I38="Sí",((INDEX(Dades_PA!$B$101:$Y$127,(MATCH(F38,Dades_PA!$A$101:$A$127,0)),(MATCH(J38,Dades_PA!$B$100:$Y$100,0))))*((Dades_PA!$B$131))*H38*1000),""))</f>
        <v/>
      </c>
      <c r="P38" s="200" t="str">
        <f>IF(I38="No",0,IF(I38="Sí",((INDEX(Dades_PA!$B$101:$Y$127,(MATCH(F38,Dades_PA!$A$101:$A$127,0)),(MATCH(J38,Dades_PA!$B$100:$Y$100,0))))*((Dades_PA!$C$131))*H38*1000),""))</f>
        <v/>
      </c>
      <c r="Q38" s="200" t="str">
        <f>IF(K38="No",0,IF(K38="Sí",((INDEX(Dades_PA!$B$101:$Y$127,(MATCH(F38,Dades_PA!$A$101:$A$127,0)),(MATCH(L38,Dades_PA!$B$100:$Y$100,0))))*((Dades_PA!$B$131))*H38*1000),""))</f>
        <v/>
      </c>
      <c r="R38" s="200" t="str">
        <f>IF(K38="No",0,IF(K38="Sí",((INDEX(Dades_PA!$B$101:$Y$127,(MATCH(F38,Dades_PA!$A$101:$A$127,0)),(MATCH(L38,Dades_PA!$B$100:$Y$100,0))))*((Dades_PA!$C$131))*H38*1000),""))</f>
        <v/>
      </c>
      <c r="S38" s="200" t="str">
        <f>IF(M38="No",0,IF(M38="Sí",((INDEX(Dades_PA!$B$101:$Y$127,(MATCH(F38,Dades_PA!$A$101:$A$127,0)),(MATCH(N38,Dades_PA!$B$100:$Y$100,0))))*((Dades_PA!$B$131))*H38*1000),""))</f>
        <v/>
      </c>
      <c r="T38" s="200" t="str">
        <f>IF(M38="No",0,IF(M38="Sí",((INDEX(Dades_PA!$B$101:$Y$127,(MATCH(F38,Dades_PA!$A$101:$A$127,0)),(MATCH(N38,Dades_PA!$B$100:$Y$100,0))))*((Dades_PA!$C$131))*H38*1000),""))</f>
        <v/>
      </c>
      <c r="U38" s="203" t="str">
        <f>IFERROR(((((O38+Q38+S38)*Dades_PA!$B$135)+((P38+R38+T38)*Dades_PA!$B$136))/1000),"")</f>
        <v/>
      </c>
    </row>
    <row r="39" spans="5:21" ht="16.5" customHeight="1">
      <c r="E39" s="396"/>
      <c r="F39" s="195" t="str">
        <f>IF('2.1 Absorcions arbres'!E39=0,"",'2.1 Absorcions arbres'!E39)</f>
        <v/>
      </c>
      <c r="G39" s="202" t="str">
        <f t="shared" ref="G39:G46" si="6">$G$37</f>
        <v/>
      </c>
      <c r="H39" s="201" t="str">
        <f>IF('2.2 Emissions restes tallada'!I46="","",'2.2 Emissions restes tallada'!I46)</f>
        <v/>
      </c>
      <c r="I39" s="109" t="str">
        <f>IF('2.2 Emissions restes tallada'!L46="Crema","Sí",(IF('2.2 Emissions restes tallada'!L46="Descomposició","No",(IF('2.2 Emissions restes tallada'!L46="Producte","No"," ")))))</f>
        <v xml:space="preserve"> </v>
      </c>
      <c r="J39" s="109" t="str">
        <f t="shared" si="0"/>
        <v>Bb&lt;2iBf-</v>
      </c>
      <c r="K39" s="109" t="str">
        <f>IF('2.2 Emissions restes tallada'!N46="Crema","Sí",(IF('2.2 Emissions restes tallada'!N46="Descomposició","No",(IF('2.2 Emissions restes tallada'!N46="Producte","No"," ")))))</f>
        <v xml:space="preserve"> </v>
      </c>
      <c r="L39" s="109" t="str">
        <f t="shared" si="1"/>
        <v>Bb&gt;2-</v>
      </c>
      <c r="M39" s="109" t="str">
        <f>IF('2.2 Emissions restes tallada'!P46="Crema","Sí",(IF('2.2 Emissions restes tallada'!P46="Descomposició","No",(IF('2.2 Emissions restes tallada'!P46="Producte","No"," ")))))</f>
        <v xml:space="preserve"> </v>
      </c>
      <c r="N39" s="109" t="str">
        <f t="shared" si="2"/>
        <v>Bt-</v>
      </c>
      <c r="O39" s="200" t="str">
        <f>IF(I39="No",0,IF(I39="Sí",((INDEX(Dades_PA!$B$101:$Y$127,(MATCH(F39,Dades_PA!$A$101:$A$127,0)),(MATCH(J39,Dades_PA!$B$100:$Y$100,0))))*((Dades_PA!$B$131))*H39*1000),""))</f>
        <v/>
      </c>
      <c r="P39" s="200" t="str">
        <f>IF(I39="No",0,IF(I39="Sí",((INDEX(Dades_PA!$B$101:$Y$127,(MATCH(F39,Dades_PA!$A$101:$A$127,0)),(MATCH(J39,Dades_PA!$B$100:$Y$100,0))))*((Dades_PA!$C$131))*H39*1000),""))</f>
        <v/>
      </c>
      <c r="Q39" s="200" t="str">
        <f>IF(K39="No",0,IF(K39="Sí",((INDEX(Dades_PA!$B$101:$Y$127,(MATCH(F39,Dades_PA!$A$101:$A$127,0)),(MATCH(L39,Dades_PA!$B$100:$Y$100,0))))*((Dades_PA!$B$131))*H39*1000),""))</f>
        <v/>
      </c>
      <c r="R39" s="200" t="str">
        <f>IF(K39="No",0,IF(K39="Sí",((INDEX(Dades_PA!$B$101:$Y$127,(MATCH(F39,Dades_PA!$A$101:$A$127,0)),(MATCH(L39,Dades_PA!$B$100:$Y$100,0))))*((Dades_PA!$C$131))*H39*1000),""))</f>
        <v/>
      </c>
      <c r="S39" s="200" t="str">
        <f>IF(M39="No",0,IF(M39="Sí",((INDEX(Dades_PA!$B$101:$Y$127,(MATCH(F39,Dades_PA!$A$101:$A$127,0)),(MATCH(N39,Dades_PA!$B$100:$Y$100,0))))*((Dades_PA!$B$131))*H39*1000),""))</f>
        <v/>
      </c>
      <c r="T39" s="200" t="str">
        <f>IF(M39="No",0,IF(M39="Sí",((INDEX(Dades_PA!$B$101:$Y$127,(MATCH(F39,Dades_PA!$A$101:$A$127,0)),(MATCH(N39,Dades_PA!$B$100:$Y$100,0))))*((Dades_PA!$C$131))*H39*1000),""))</f>
        <v/>
      </c>
      <c r="U39" s="203" t="str">
        <f>IFERROR(((((O39+Q39+S39)*Dades_PA!$B$135)+((P39+R39+T39)*Dades_PA!$B$136))/1000),"")</f>
        <v/>
      </c>
    </row>
    <row r="40" spans="5:21" ht="16.5" customHeight="1">
      <c r="E40" s="396"/>
      <c r="F40" s="195" t="str">
        <f>IF('2.1 Absorcions arbres'!E40=0,"",'2.1 Absorcions arbres'!E40)</f>
        <v/>
      </c>
      <c r="G40" s="202" t="str">
        <f t="shared" si="6"/>
        <v/>
      </c>
      <c r="H40" s="201" t="str">
        <f>IF('2.2 Emissions restes tallada'!I47="","",'2.2 Emissions restes tallada'!I47)</f>
        <v/>
      </c>
      <c r="I40" s="109" t="str">
        <f>IF('2.2 Emissions restes tallada'!L47="Crema","Sí",(IF('2.2 Emissions restes tallada'!L47="Descomposició","No",(IF('2.2 Emissions restes tallada'!L47="Producte","No"," ")))))</f>
        <v xml:space="preserve"> </v>
      </c>
      <c r="J40" s="109" t="str">
        <f t="shared" si="0"/>
        <v>Bb&lt;2iBf-</v>
      </c>
      <c r="K40" s="109" t="str">
        <f>IF('2.2 Emissions restes tallada'!N47="Crema","Sí",(IF('2.2 Emissions restes tallada'!N47="Descomposició","No",(IF('2.2 Emissions restes tallada'!N47="Producte","No"," ")))))</f>
        <v xml:space="preserve"> </v>
      </c>
      <c r="L40" s="109" t="str">
        <f t="shared" si="1"/>
        <v>Bb&gt;2-</v>
      </c>
      <c r="M40" s="109" t="str">
        <f>IF('2.2 Emissions restes tallada'!P47="Crema","Sí",(IF('2.2 Emissions restes tallada'!P47="Descomposició","No",(IF('2.2 Emissions restes tallada'!P47="Producte","No"," ")))))</f>
        <v xml:space="preserve"> </v>
      </c>
      <c r="N40" s="109" t="str">
        <f t="shared" si="2"/>
        <v>Bt-</v>
      </c>
      <c r="O40" s="200" t="str">
        <f>IF(I40="No",0,IF(I40="Sí",((INDEX(Dades_PA!$B$101:$Y$127,(MATCH(F40,Dades_PA!$A$101:$A$127,0)),(MATCH(J40,Dades_PA!$B$100:$Y$100,0))))*((Dades_PA!$B$131))*H40*1000),""))</f>
        <v/>
      </c>
      <c r="P40" s="200" t="str">
        <f>IF(I40="No",0,IF(I40="Sí",((INDEX(Dades_PA!$B$101:$Y$127,(MATCH(F40,Dades_PA!$A$101:$A$127,0)),(MATCH(J40,Dades_PA!$B$100:$Y$100,0))))*((Dades_PA!$C$131))*H40*1000),""))</f>
        <v/>
      </c>
      <c r="Q40" s="200" t="str">
        <f>IF(K40="No",0,IF(K40="Sí",((INDEX(Dades_PA!$B$101:$Y$127,(MATCH(F40,Dades_PA!$A$101:$A$127,0)),(MATCH(L40,Dades_PA!$B$100:$Y$100,0))))*((Dades_PA!$B$131))*H40*1000),""))</f>
        <v/>
      </c>
      <c r="R40" s="200" t="str">
        <f>IF(K40="No",0,IF(K40="Sí",((INDEX(Dades_PA!$B$101:$Y$127,(MATCH(F40,Dades_PA!$A$101:$A$127,0)),(MATCH(L40,Dades_PA!$B$100:$Y$100,0))))*((Dades_PA!$C$131))*H40*1000),""))</f>
        <v/>
      </c>
      <c r="S40" s="200" t="str">
        <f>IF(M40="No",0,IF(M40="Sí",((INDEX(Dades_PA!$B$101:$Y$127,(MATCH(F40,Dades_PA!$A$101:$A$127,0)),(MATCH(N40,Dades_PA!$B$100:$Y$100,0))))*((Dades_PA!$B$131))*H40*1000),""))</f>
        <v/>
      </c>
      <c r="T40" s="200" t="str">
        <f>IF(M40="No",0,IF(M40="Sí",((INDEX(Dades_PA!$B$101:$Y$127,(MATCH(F40,Dades_PA!$A$101:$A$127,0)),(MATCH(N40,Dades_PA!$B$100:$Y$100,0))))*((Dades_PA!$C$131))*H40*1000),""))</f>
        <v/>
      </c>
      <c r="U40" s="203" t="str">
        <f>IFERROR(((((O40+Q40+S40)*Dades_PA!$B$135)+((P40+R40+T40)*Dades_PA!$B$136))/1000),"")</f>
        <v/>
      </c>
    </row>
    <row r="41" spans="5:21" ht="16.5" customHeight="1">
      <c r="E41" s="396"/>
      <c r="F41" s="195" t="str">
        <f>IF('2.1 Absorcions arbres'!E41=0,"",'2.1 Absorcions arbres'!E41)</f>
        <v/>
      </c>
      <c r="G41" s="202" t="str">
        <f t="shared" si="6"/>
        <v/>
      </c>
      <c r="H41" s="201" t="str">
        <f>IF('2.2 Emissions restes tallada'!I48="","",'2.2 Emissions restes tallada'!I48)</f>
        <v/>
      </c>
      <c r="I41" s="109" t="str">
        <f>IF('2.2 Emissions restes tallada'!L48="Crema","Sí",(IF('2.2 Emissions restes tallada'!L48="Descomposició","No",(IF('2.2 Emissions restes tallada'!L48="Producte","No"," ")))))</f>
        <v xml:space="preserve"> </v>
      </c>
      <c r="J41" s="109" t="str">
        <f t="shared" si="0"/>
        <v>Bb&lt;2iBf-</v>
      </c>
      <c r="K41" s="109" t="str">
        <f>IF('2.2 Emissions restes tallada'!N48="Crema","Sí",(IF('2.2 Emissions restes tallada'!N48="Descomposició","No",(IF('2.2 Emissions restes tallada'!N48="Producte","No"," ")))))</f>
        <v xml:space="preserve"> </v>
      </c>
      <c r="L41" s="109" t="str">
        <f t="shared" si="1"/>
        <v>Bb&gt;2-</v>
      </c>
      <c r="M41" s="109" t="str">
        <f>IF('2.2 Emissions restes tallada'!P48="Crema","Sí",(IF('2.2 Emissions restes tallada'!P48="Descomposició","No",(IF('2.2 Emissions restes tallada'!P48="Producte","No"," ")))))</f>
        <v xml:space="preserve"> </v>
      </c>
      <c r="N41" s="109" t="str">
        <f t="shared" si="2"/>
        <v>Bt-</v>
      </c>
      <c r="O41" s="200" t="str">
        <f>IF(I41="No",0,IF(I41="Sí",((INDEX(Dades_PA!$B$101:$Y$127,(MATCH(F41,Dades_PA!$A$101:$A$127,0)),(MATCH(J41,Dades_PA!$B$100:$Y$100,0))))*((Dades_PA!$B$131))*H41*1000),""))</f>
        <v/>
      </c>
      <c r="P41" s="200" t="str">
        <f>IF(I41="No",0,IF(I41="Sí",((INDEX(Dades_PA!$B$101:$Y$127,(MATCH(F41,Dades_PA!$A$101:$A$127,0)),(MATCH(J41,Dades_PA!$B$100:$Y$100,0))))*((Dades_PA!$C$131))*H41*1000),""))</f>
        <v/>
      </c>
      <c r="Q41" s="200" t="str">
        <f>IF(K41="No",0,IF(K41="Sí",((INDEX(Dades_PA!$B$101:$Y$127,(MATCH(F41,Dades_PA!$A$101:$A$127,0)),(MATCH(L41,Dades_PA!$B$100:$Y$100,0))))*((Dades_PA!$B$131))*H41*1000),""))</f>
        <v/>
      </c>
      <c r="R41" s="200" t="str">
        <f>IF(K41="No",0,IF(K41="Sí",((INDEX(Dades_PA!$B$101:$Y$127,(MATCH(F41,Dades_PA!$A$101:$A$127,0)),(MATCH(L41,Dades_PA!$B$100:$Y$100,0))))*((Dades_PA!$C$131))*H41*1000),""))</f>
        <v/>
      </c>
      <c r="S41" s="200" t="str">
        <f>IF(M41="No",0,IF(M41="Sí",((INDEX(Dades_PA!$B$101:$Y$127,(MATCH(F41,Dades_PA!$A$101:$A$127,0)),(MATCH(N41,Dades_PA!$B$100:$Y$100,0))))*((Dades_PA!$B$131))*H41*1000),""))</f>
        <v/>
      </c>
      <c r="T41" s="200" t="str">
        <f>IF(M41="No",0,IF(M41="Sí",((INDEX(Dades_PA!$B$101:$Y$127,(MATCH(F41,Dades_PA!$A$101:$A$127,0)),(MATCH(N41,Dades_PA!$B$100:$Y$100,0))))*((Dades_PA!$C$131))*H41*1000),""))</f>
        <v/>
      </c>
      <c r="U41" s="203" t="str">
        <f>IFERROR(((((O41+Q41+S41)*Dades_PA!$B$135)+((P41+R41+T41)*Dades_PA!$B$136))/1000),"")</f>
        <v/>
      </c>
    </row>
    <row r="42" spans="5:21" ht="16.5" customHeight="1">
      <c r="E42" s="396"/>
      <c r="F42" s="195" t="str">
        <f>IF('2.1 Absorcions arbres'!E42=0,"",'2.1 Absorcions arbres'!E42)</f>
        <v/>
      </c>
      <c r="G42" s="202" t="str">
        <f t="shared" si="6"/>
        <v/>
      </c>
      <c r="H42" s="201" t="str">
        <f>IF('2.2 Emissions restes tallada'!I49="","",'2.2 Emissions restes tallada'!I49)</f>
        <v/>
      </c>
      <c r="I42" s="109" t="str">
        <f>IF('2.2 Emissions restes tallada'!L49="Crema","Sí",(IF('2.2 Emissions restes tallada'!L49="Descomposició","No",(IF('2.2 Emissions restes tallada'!L49="Producte","No"," ")))))</f>
        <v xml:space="preserve"> </v>
      </c>
      <c r="J42" s="109" t="str">
        <f t="shared" si="0"/>
        <v>Bb&lt;2iBf-</v>
      </c>
      <c r="K42" s="109" t="str">
        <f>IF('2.2 Emissions restes tallada'!N49="Crema","Sí",(IF('2.2 Emissions restes tallada'!N49="Descomposició","No",(IF('2.2 Emissions restes tallada'!N49="Producte","No"," ")))))</f>
        <v xml:space="preserve"> </v>
      </c>
      <c r="L42" s="109" t="str">
        <f t="shared" si="1"/>
        <v>Bb&gt;2-</v>
      </c>
      <c r="M42" s="109" t="str">
        <f>IF('2.2 Emissions restes tallada'!P49="Crema","Sí",(IF('2.2 Emissions restes tallada'!P49="Descomposició","No",(IF('2.2 Emissions restes tallada'!P49="Producte","No"," ")))))</f>
        <v xml:space="preserve"> </v>
      </c>
      <c r="N42" s="109" t="str">
        <f t="shared" si="2"/>
        <v>Bt-</v>
      </c>
      <c r="O42" s="200" t="str">
        <f>IF(I42="No",0,IF(I42="Sí",((INDEX(Dades_PA!$B$101:$Y$127,(MATCH(F42,Dades_PA!$A$101:$A$127,0)),(MATCH(J42,Dades_PA!$B$100:$Y$100,0))))*((Dades_PA!$B$131))*H42*1000),""))</f>
        <v/>
      </c>
      <c r="P42" s="200" t="str">
        <f>IF(I42="No",0,IF(I42="Sí",((INDEX(Dades_PA!$B$101:$Y$127,(MATCH(F42,Dades_PA!$A$101:$A$127,0)),(MATCH(J42,Dades_PA!$B$100:$Y$100,0))))*((Dades_PA!$C$131))*H42*1000),""))</f>
        <v/>
      </c>
      <c r="Q42" s="200" t="str">
        <f>IF(K42="No",0,IF(K42="Sí",((INDEX(Dades_PA!$B$101:$Y$127,(MATCH(F42,Dades_PA!$A$101:$A$127,0)),(MATCH(L42,Dades_PA!$B$100:$Y$100,0))))*((Dades_PA!$B$131))*H42*1000),""))</f>
        <v/>
      </c>
      <c r="R42" s="200" t="str">
        <f>IF(K42="No",0,IF(K42="Sí",((INDEX(Dades_PA!$B$101:$Y$127,(MATCH(F42,Dades_PA!$A$101:$A$127,0)),(MATCH(L42,Dades_PA!$B$100:$Y$100,0))))*((Dades_PA!$C$131))*H42*1000),""))</f>
        <v/>
      </c>
      <c r="S42" s="200" t="str">
        <f>IF(M42="No",0,IF(M42="Sí",((INDEX(Dades_PA!$B$101:$Y$127,(MATCH(F42,Dades_PA!$A$101:$A$127,0)),(MATCH(N42,Dades_PA!$B$100:$Y$100,0))))*((Dades_PA!$B$131))*H42*1000),""))</f>
        <v/>
      </c>
      <c r="T42" s="200" t="str">
        <f>IF(M42="No",0,IF(M42="Sí",((INDEX(Dades_PA!$B$101:$Y$127,(MATCH(F42,Dades_PA!$A$101:$A$127,0)),(MATCH(N42,Dades_PA!$B$100:$Y$100,0))))*((Dades_PA!$C$131))*H42*1000),""))</f>
        <v/>
      </c>
      <c r="U42" s="203" t="str">
        <f>IFERROR(((((O42+Q42+S42)*Dades_PA!$B$135)+((P42+R42+T42)*Dades_PA!$B$136))/1000),"")</f>
        <v/>
      </c>
    </row>
    <row r="43" spans="5:21" ht="15" customHeight="1">
      <c r="E43" s="396"/>
      <c r="F43" s="195" t="str">
        <f>IF('2.1 Absorcions arbres'!E43=0,"",'2.1 Absorcions arbres'!E43)</f>
        <v/>
      </c>
      <c r="G43" s="202" t="str">
        <f t="shared" si="6"/>
        <v/>
      </c>
      <c r="H43" s="201" t="str">
        <f>IF('2.2 Emissions restes tallada'!I50="","",'2.2 Emissions restes tallada'!I50)</f>
        <v/>
      </c>
      <c r="I43" s="109" t="str">
        <f>IF('2.2 Emissions restes tallada'!L50="Crema","Sí",(IF('2.2 Emissions restes tallada'!L50="Descomposició","No",(IF('2.2 Emissions restes tallada'!L50="Producte","No"," ")))))</f>
        <v xml:space="preserve"> </v>
      </c>
      <c r="J43" s="109" t="str">
        <f t="shared" si="0"/>
        <v>Bb&lt;2iBf-</v>
      </c>
      <c r="K43" s="109" t="str">
        <f>IF('2.2 Emissions restes tallada'!N50="Crema","Sí",(IF('2.2 Emissions restes tallada'!N50="Descomposició","No",(IF('2.2 Emissions restes tallada'!N50="Producte","No"," ")))))</f>
        <v xml:space="preserve"> </v>
      </c>
      <c r="L43" s="109" t="str">
        <f t="shared" si="1"/>
        <v>Bb&gt;2-</v>
      </c>
      <c r="M43" s="109" t="str">
        <f>IF('2.2 Emissions restes tallada'!P50="Crema","Sí",(IF('2.2 Emissions restes tallada'!P50="Descomposició","No",(IF('2.2 Emissions restes tallada'!P50="Producte","No"," ")))))</f>
        <v xml:space="preserve"> </v>
      </c>
      <c r="N43" s="109" t="str">
        <f t="shared" si="2"/>
        <v>Bt-</v>
      </c>
      <c r="O43" s="200" t="str">
        <f>IF(I43="No",0,IF(I43="Sí",((INDEX(Dades_PA!$B$101:$Y$127,(MATCH(F43,Dades_PA!$A$101:$A$127,0)),(MATCH(J43,Dades_PA!$B$100:$Y$100,0))))*((Dades_PA!$B$131))*H43*1000),""))</f>
        <v/>
      </c>
      <c r="P43" s="200" t="str">
        <f>IF(I43="No",0,IF(I43="Sí",((INDEX(Dades_PA!$B$101:$Y$127,(MATCH(F43,Dades_PA!$A$101:$A$127,0)),(MATCH(J43,Dades_PA!$B$100:$Y$100,0))))*((Dades_PA!$C$131))*H43*1000),""))</f>
        <v/>
      </c>
      <c r="Q43" s="200" t="str">
        <f>IF(K43="No",0,IF(K43="Sí",((INDEX(Dades_PA!$B$101:$Y$127,(MATCH(F43,Dades_PA!$A$101:$A$127,0)),(MATCH(L43,Dades_PA!$B$100:$Y$100,0))))*((Dades_PA!$B$131))*H43*1000),""))</f>
        <v/>
      </c>
      <c r="R43" s="200" t="str">
        <f>IF(K43="No",0,IF(K43="Sí",((INDEX(Dades_PA!$B$101:$Y$127,(MATCH(F43,Dades_PA!$A$101:$A$127,0)),(MATCH(L43,Dades_PA!$B$100:$Y$100,0))))*((Dades_PA!$C$131))*H43*1000),""))</f>
        <v/>
      </c>
      <c r="S43" s="200" t="str">
        <f>IF(M43="No",0,IF(M43="Sí",((INDEX(Dades_PA!$B$101:$Y$127,(MATCH(F43,Dades_PA!$A$101:$A$127,0)),(MATCH(N43,Dades_PA!$B$100:$Y$100,0))))*((Dades_PA!$B$131))*H43*1000),""))</f>
        <v/>
      </c>
      <c r="T43" s="200" t="str">
        <f>IF(M43="No",0,IF(M43="Sí",((INDEX(Dades_PA!$B$101:$Y$127,(MATCH(F43,Dades_PA!$A$101:$A$127,0)),(MATCH(N43,Dades_PA!$B$100:$Y$100,0))))*((Dades_PA!$C$131))*H43*1000),""))</f>
        <v/>
      </c>
      <c r="U43" s="203" t="str">
        <f>IFERROR(((((O43+Q43+S43)*Dades_PA!$B$135)+((P43+R43+T43)*Dades_PA!$B$136))/1000),"")</f>
        <v/>
      </c>
    </row>
    <row r="44" spans="5:21" ht="16.5" customHeight="1">
      <c r="E44" s="396"/>
      <c r="F44" s="195" t="str">
        <f>IF('2.1 Absorcions arbres'!E44=0,"",'2.1 Absorcions arbres'!E44)</f>
        <v/>
      </c>
      <c r="G44" s="202" t="str">
        <f t="shared" si="6"/>
        <v/>
      </c>
      <c r="H44" s="201" t="str">
        <f>IF('2.2 Emissions restes tallada'!I51="","",'2.2 Emissions restes tallada'!I51)</f>
        <v/>
      </c>
      <c r="I44" s="109" t="str">
        <f>IF('2.2 Emissions restes tallada'!L51="Crema","Sí",(IF('2.2 Emissions restes tallada'!L51="Descomposició","No",(IF('2.2 Emissions restes tallada'!L51="Producte","No"," ")))))</f>
        <v xml:space="preserve"> </v>
      </c>
      <c r="J44" s="109" t="str">
        <f t="shared" si="0"/>
        <v>Bb&lt;2iBf-</v>
      </c>
      <c r="K44" s="109" t="str">
        <f>IF('2.2 Emissions restes tallada'!N51="Crema","Sí",(IF('2.2 Emissions restes tallada'!N51="Descomposició","No",(IF('2.2 Emissions restes tallada'!N51="Producte","No"," ")))))</f>
        <v xml:space="preserve"> </v>
      </c>
      <c r="L44" s="109" t="str">
        <f t="shared" si="1"/>
        <v>Bb&gt;2-</v>
      </c>
      <c r="M44" s="109" t="str">
        <f>IF('2.2 Emissions restes tallada'!P51="Crema","Sí",(IF('2.2 Emissions restes tallada'!P51="Descomposició","No",(IF('2.2 Emissions restes tallada'!P51="Producte","No"," ")))))</f>
        <v xml:space="preserve"> </v>
      </c>
      <c r="N44" s="109" t="str">
        <f t="shared" si="2"/>
        <v>Bt-</v>
      </c>
      <c r="O44" s="200" t="str">
        <f>IF(I44="No",0,IF(I44="Sí",((INDEX(Dades_PA!$B$101:$Y$127,(MATCH(F44,Dades_PA!$A$101:$A$127,0)),(MATCH(J44,Dades_PA!$B$100:$Y$100,0))))*((Dades_PA!$B$131))*H44*1000),""))</f>
        <v/>
      </c>
      <c r="P44" s="200" t="str">
        <f>IF(I44="No",0,IF(I44="Sí",((INDEX(Dades_PA!$B$101:$Y$127,(MATCH(F44,Dades_PA!$A$101:$A$127,0)),(MATCH(J44,Dades_PA!$B$100:$Y$100,0))))*((Dades_PA!$C$131))*H44*1000),""))</f>
        <v/>
      </c>
      <c r="Q44" s="200" t="str">
        <f>IF(K44="No",0,IF(K44="Sí",((INDEX(Dades_PA!$B$101:$Y$127,(MATCH(F44,Dades_PA!$A$101:$A$127,0)),(MATCH(L44,Dades_PA!$B$100:$Y$100,0))))*((Dades_PA!$B$131))*H44*1000),""))</f>
        <v/>
      </c>
      <c r="R44" s="200" t="str">
        <f>IF(K44="No",0,IF(K44="Sí",((INDEX(Dades_PA!$B$101:$Y$127,(MATCH(F44,Dades_PA!$A$101:$A$127,0)),(MATCH(L44,Dades_PA!$B$100:$Y$100,0))))*((Dades_PA!$C$131))*H44*1000),""))</f>
        <v/>
      </c>
      <c r="S44" s="200" t="str">
        <f>IF(M44="No",0,IF(M44="Sí",((INDEX(Dades_PA!$B$101:$Y$127,(MATCH(F44,Dades_PA!$A$101:$A$127,0)),(MATCH(N44,Dades_PA!$B$100:$Y$100,0))))*((Dades_PA!$B$131))*H44*1000),""))</f>
        <v/>
      </c>
      <c r="T44" s="200" t="str">
        <f>IF(M44="No",0,IF(M44="Sí",((INDEX(Dades_PA!$B$101:$Y$127,(MATCH(F44,Dades_PA!$A$101:$A$127,0)),(MATCH(N44,Dades_PA!$B$100:$Y$100,0))))*((Dades_PA!$C$131))*H44*1000),""))</f>
        <v/>
      </c>
      <c r="U44" s="203" t="str">
        <f>IFERROR(((((O44+Q44+S44)*Dades_PA!$B$135)+((P44+R44+T44)*Dades_PA!$B$136))/1000),"")</f>
        <v/>
      </c>
    </row>
    <row r="45" spans="5:21" ht="15" customHeight="1">
      <c r="E45" s="396"/>
      <c r="F45" s="195" t="str">
        <f>IF('2.1 Absorcions arbres'!E45=0,"",'2.1 Absorcions arbres'!E45)</f>
        <v/>
      </c>
      <c r="G45" s="202" t="str">
        <f t="shared" si="6"/>
        <v/>
      </c>
      <c r="H45" s="201" t="str">
        <f>IF('2.2 Emissions restes tallada'!I52="","",'2.2 Emissions restes tallada'!I52)</f>
        <v/>
      </c>
      <c r="I45" s="109" t="str">
        <f>IF('2.2 Emissions restes tallada'!L52="Crema","Sí",(IF('2.2 Emissions restes tallada'!L52="Descomposició","No",(IF('2.2 Emissions restes tallada'!L52="Producte","No"," ")))))</f>
        <v xml:space="preserve"> </v>
      </c>
      <c r="J45" s="109" t="str">
        <f t="shared" si="0"/>
        <v>Bb&lt;2iBf-</v>
      </c>
      <c r="K45" s="109" t="str">
        <f>IF('2.2 Emissions restes tallada'!N52="Crema","Sí",(IF('2.2 Emissions restes tallada'!N52="Descomposició","No",(IF('2.2 Emissions restes tallada'!N52="Producte","No"," ")))))</f>
        <v xml:space="preserve"> </v>
      </c>
      <c r="L45" s="109" t="str">
        <f t="shared" si="1"/>
        <v>Bb&gt;2-</v>
      </c>
      <c r="M45" s="109" t="str">
        <f>IF('2.2 Emissions restes tallada'!P52="Crema","Sí",(IF('2.2 Emissions restes tallada'!P52="Descomposició","No",(IF('2.2 Emissions restes tallada'!P52="Producte","No"," ")))))</f>
        <v xml:space="preserve"> </v>
      </c>
      <c r="N45" s="109" t="str">
        <f t="shared" si="2"/>
        <v>Bt-</v>
      </c>
      <c r="O45" s="200" t="str">
        <f>IF(I45="No",0,IF(I45="Sí",((INDEX(Dades_PA!$B$101:$Y$127,(MATCH(F45,Dades_PA!$A$101:$A$127,0)),(MATCH(J45,Dades_PA!$B$100:$Y$100,0))))*((Dades_PA!$B$131))*H45*1000),""))</f>
        <v/>
      </c>
      <c r="P45" s="200" t="str">
        <f>IF(I45="No",0,IF(I45="Sí",((INDEX(Dades_PA!$B$101:$Y$127,(MATCH(F45,Dades_PA!$A$101:$A$127,0)),(MATCH(J45,Dades_PA!$B$100:$Y$100,0))))*((Dades_PA!$C$131))*H45*1000),""))</f>
        <v/>
      </c>
      <c r="Q45" s="200" t="str">
        <f>IF(K45="No",0,IF(K45="Sí",((INDEX(Dades_PA!$B$101:$Y$127,(MATCH(F45,Dades_PA!$A$101:$A$127,0)),(MATCH(L45,Dades_PA!$B$100:$Y$100,0))))*((Dades_PA!$B$131))*H45*1000),""))</f>
        <v/>
      </c>
      <c r="R45" s="200" t="str">
        <f>IF(K45="No",0,IF(K45="Sí",((INDEX(Dades_PA!$B$101:$Y$127,(MATCH(F45,Dades_PA!$A$101:$A$127,0)),(MATCH(L45,Dades_PA!$B$100:$Y$100,0))))*((Dades_PA!$C$131))*H45*1000),""))</f>
        <v/>
      </c>
      <c r="S45" s="200" t="str">
        <f>IF(M45="No",0,IF(M45="Sí",((INDEX(Dades_PA!$B$101:$Y$127,(MATCH(F45,Dades_PA!$A$101:$A$127,0)),(MATCH(N45,Dades_PA!$B$100:$Y$100,0))))*((Dades_PA!$B$131))*H45*1000),""))</f>
        <v/>
      </c>
      <c r="T45" s="200" t="str">
        <f>IF(M45="No",0,IF(M45="Sí",((INDEX(Dades_PA!$B$101:$Y$127,(MATCH(F45,Dades_PA!$A$101:$A$127,0)),(MATCH(N45,Dades_PA!$B$100:$Y$100,0))))*((Dades_PA!$C$131))*H45*1000),""))</f>
        <v/>
      </c>
      <c r="U45" s="203" t="str">
        <f>IFERROR(((((O45+Q45+S45)*Dades_PA!$B$135)+((P45+R45+T45)*Dades_PA!$B$136))/1000),"")</f>
        <v/>
      </c>
    </row>
    <row r="46" spans="5:21" ht="16.5" customHeight="1" thickBot="1">
      <c r="E46" s="398"/>
      <c r="F46" s="204" t="str">
        <f>IF('2.1 Absorcions arbres'!E46=0,"",'2.1 Absorcions arbres'!E46)</f>
        <v/>
      </c>
      <c r="G46" s="205" t="str">
        <f t="shared" si="6"/>
        <v/>
      </c>
      <c r="H46" s="206" t="str">
        <f>IF('2.2 Emissions restes tallada'!I53="","",'2.2 Emissions restes tallada'!I53)</f>
        <v/>
      </c>
      <c r="I46" s="193" t="str">
        <f>IF('2.2 Emissions restes tallada'!L53="Crema","Sí",(IF('2.2 Emissions restes tallada'!L53="Descomposició","No",(IF('2.2 Emissions restes tallada'!L53="Producte","No"," ")))))</f>
        <v xml:space="preserve"> </v>
      </c>
      <c r="J46" s="193" t="str">
        <f t="shared" si="0"/>
        <v>Bb&lt;2iBf-</v>
      </c>
      <c r="K46" s="193" t="str">
        <f>IF('2.2 Emissions restes tallada'!N53="Crema","Sí",(IF('2.2 Emissions restes tallada'!N53="Descomposició","No",(IF('2.2 Emissions restes tallada'!N53="Producte","No"," ")))))</f>
        <v xml:space="preserve"> </v>
      </c>
      <c r="L46" s="193" t="str">
        <f t="shared" si="1"/>
        <v>Bb&gt;2-</v>
      </c>
      <c r="M46" s="193" t="str">
        <f>IF('2.2 Emissions restes tallada'!P53="Crema","Sí",(IF('2.2 Emissions restes tallada'!P53="Descomposició","No",(IF('2.2 Emissions restes tallada'!P53="Producte","No"," ")))))</f>
        <v xml:space="preserve"> </v>
      </c>
      <c r="N46" s="193" t="str">
        <f t="shared" si="2"/>
        <v>Bt-</v>
      </c>
      <c r="O46" s="207" t="str">
        <f>IF(I46="No",0,IF(I46="Sí",((INDEX(Dades_PA!$B$101:$Y$127,(MATCH(F46,Dades_PA!$A$101:$A$127,0)),(MATCH(J46,Dades_PA!$B$100:$Y$100,0))))*((Dades_PA!$B$131))*H46*1000),""))</f>
        <v/>
      </c>
      <c r="P46" s="207" t="str">
        <f>IF(I46="No",0,IF(I46="Sí",((INDEX(Dades_PA!$B$101:$Y$127,(MATCH(F46,Dades_PA!$A$101:$A$127,0)),(MATCH(J46,Dades_PA!$B$100:$Y$100,0))))*((Dades_PA!$C$131))*H46*1000),""))</f>
        <v/>
      </c>
      <c r="Q46" s="207" t="str">
        <f>IF(K46="No",0,IF(K46="Sí",((INDEX(Dades_PA!$B$101:$Y$127,(MATCH(F46,Dades_PA!$A$101:$A$127,0)),(MATCH(L46,Dades_PA!$B$100:$Y$100,0))))*((Dades_PA!$B$131))*H46*1000),""))</f>
        <v/>
      </c>
      <c r="R46" s="207" t="str">
        <f>IF(K46="No",0,IF(K46="Sí",((INDEX(Dades_PA!$B$101:$Y$127,(MATCH(F46,Dades_PA!$A$101:$A$127,0)),(MATCH(L46,Dades_PA!$B$100:$Y$100,0))))*((Dades_PA!$C$131))*H46*1000),""))</f>
        <v/>
      </c>
      <c r="S46" s="207" t="str">
        <f>IF(M46="No",0,IF(M46="Sí",((INDEX(Dades_PA!$B$101:$Y$127,(MATCH(F46,Dades_PA!$A$101:$A$127,0)),(MATCH(N46,Dades_PA!$B$100:$Y$100,0))))*((Dades_PA!$B$131))*H46*1000),""))</f>
        <v/>
      </c>
      <c r="T46" s="207" t="str">
        <f>IF(M46="No",0,IF(M46="Sí",((INDEX(Dades_PA!$B$101:$Y$127,(MATCH(F46,Dades_PA!$A$101:$A$127,0)),(MATCH(N46,Dades_PA!$B$100:$Y$100,0))))*((Dades_PA!$C$131))*H46*1000),""))</f>
        <v/>
      </c>
      <c r="U46" s="208" t="str">
        <f>IFERROR(((((O46+Q46+S46)*Dades_PA!$B$135)+((P46+R46+T46)*Dades_PA!$B$136))/1000),"")</f>
        <v/>
      </c>
    </row>
    <row r="47" spans="5:21" ht="16.5" customHeight="1">
      <c r="E47" s="395" t="str">
        <f>IF(('1. Dades generals del projecte'!D34)="","",('1. Dades generals del projecte'!D34))</f>
        <v/>
      </c>
      <c r="F47" s="194" t="str">
        <f>IF('2.1 Absorcions arbres'!E47=0,"",'2.1 Absorcions arbres'!E47)</f>
        <v/>
      </c>
      <c r="G47" s="209" t="str">
        <f>IF(('2.1 Absorcions arbres'!H47&gt;0),('2.1 Absorcions arbres'!H47),"")</f>
        <v/>
      </c>
      <c r="H47" s="210" t="str">
        <f>IF('2.2 Emissions restes tallada'!I54="","",'2.2 Emissions restes tallada'!I54)</f>
        <v/>
      </c>
      <c r="I47" s="105" t="str">
        <f>IF('2.2 Emissions restes tallada'!L54="Crema","Sí",(IF('2.2 Emissions restes tallada'!L54="Descomposició","No",(IF('2.2 Emissions restes tallada'!L54="Producte","No"," ")))))</f>
        <v xml:space="preserve"> </v>
      </c>
      <c r="J47" s="105" t="str">
        <f t="shared" si="0"/>
        <v>Bb&lt;2iBf-</v>
      </c>
      <c r="K47" s="105" t="str">
        <f>IF('2.2 Emissions restes tallada'!N54="Crema","Sí",(IF('2.2 Emissions restes tallada'!N54="Descomposició","No",(IF('2.2 Emissions restes tallada'!N54="Producte","No"," ")))))</f>
        <v xml:space="preserve"> </v>
      </c>
      <c r="L47" s="105" t="str">
        <f t="shared" si="1"/>
        <v>Bb&gt;2-</v>
      </c>
      <c r="M47" s="105" t="str">
        <f>IF('2.2 Emissions restes tallada'!P54="Crema","Sí",(IF('2.2 Emissions restes tallada'!P54="Descomposició","No",(IF('2.2 Emissions restes tallada'!P54="Producte","No"," ")))))</f>
        <v xml:space="preserve"> </v>
      </c>
      <c r="N47" s="105" t="str">
        <f t="shared" si="2"/>
        <v>Bt-</v>
      </c>
      <c r="O47" s="194" t="str">
        <f>IF(I47="No",0,IF(I47="Sí",((INDEX(Dades_PA!$B$101:$Y$127,(MATCH(F47,Dades_PA!$A$101:$A$127,0)),(MATCH(J47,Dades_PA!$B$100:$Y$100,0))))*((Dades_PA!$B$131))*H47*1000),""))</f>
        <v/>
      </c>
      <c r="P47" s="194" t="str">
        <f>IF(I47="No",0,IF(I47="Sí",((INDEX(Dades_PA!$B$101:$Y$127,(MATCH(F47,Dades_PA!$A$101:$A$127,0)),(MATCH(J47,Dades_PA!$B$100:$Y$100,0))))*((Dades_PA!$C$131))*H47*1000),""))</f>
        <v/>
      </c>
      <c r="Q47" s="194" t="str">
        <f>IF(K47="No",0,IF(K47="Sí",((INDEX(Dades_PA!$B$101:$Y$127,(MATCH(F47,Dades_PA!$A$101:$A$127,0)),(MATCH(L47,Dades_PA!$B$100:$Y$100,0))))*((Dades_PA!$B$131))*H47*1000),""))</f>
        <v/>
      </c>
      <c r="R47" s="194" t="str">
        <f>IF(K47="No",0,IF(K47="Sí",((INDEX(Dades_PA!$B$101:$Y$127,(MATCH(F47,Dades_PA!$A$101:$A$127,0)),(MATCH(L47,Dades_PA!$B$100:$Y$100,0))))*((Dades_PA!$C$131))*H47*1000),""))</f>
        <v/>
      </c>
      <c r="S47" s="194" t="str">
        <f>IF(M47="No",0,IF(M47="Sí",((INDEX(Dades_PA!$B$101:$Y$127,(MATCH(F47,Dades_PA!$A$101:$A$127,0)),(MATCH(N47,Dades_PA!$B$100:$Y$100,0))))*((Dades_PA!$B$131))*H47*1000),""))</f>
        <v/>
      </c>
      <c r="T47" s="194" t="str">
        <f>IF(M47="No",0,IF(M47="Sí",((INDEX(Dades_PA!$B$101:$Y$127,(MATCH(F47,Dades_PA!$A$101:$A$127,0)),(MATCH(N47,Dades_PA!$B$100:$Y$100,0))))*((Dades_PA!$C$131))*H47*1000),""))</f>
        <v/>
      </c>
      <c r="U47" s="211" t="str">
        <f>IFERROR(((((O47+Q47+S47)*Dades_PA!$B$135)+((P47+R47+T47)*Dades_PA!$B$136))/1000),"")</f>
        <v/>
      </c>
    </row>
    <row r="48" spans="5:21" ht="15" customHeight="1">
      <c r="E48" s="396"/>
      <c r="F48" s="195" t="str">
        <f>IF('2.1 Absorcions arbres'!E48=0,"",'2.1 Absorcions arbres'!E48)</f>
        <v/>
      </c>
      <c r="G48" s="202" t="str">
        <f>$G$47</f>
        <v/>
      </c>
      <c r="H48" s="201" t="str">
        <f>IF('2.2 Emissions restes tallada'!I55="","",'2.2 Emissions restes tallada'!I55)</f>
        <v/>
      </c>
      <c r="I48" s="109" t="str">
        <f>IF('2.2 Emissions restes tallada'!L55="Crema","Sí",(IF('2.2 Emissions restes tallada'!L55="Descomposició","No",(IF('2.2 Emissions restes tallada'!L55="Producte","No"," ")))))</f>
        <v xml:space="preserve"> </v>
      </c>
      <c r="J48" s="109" t="str">
        <f t="shared" si="0"/>
        <v>Bb&lt;2iBf-</v>
      </c>
      <c r="K48" s="109" t="str">
        <f>IF('2.2 Emissions restes tallada'!N55="Crema","Sí",(IF('2.2 Emissions restes tallada'!N55="Descomposició","No",(IF('2.2 Emissions restes tallada'!N55="Producte","No"," ")))))</f>
        <v xml:space="preserve"> </v>
      </c>
      <c r="L48" s="109" t="str">
        <f t="shared" si="1"/>
        <v>Bb&gt;2-</v>
      </c>
      <c r="M48" s="109" t="str">
        <f>IF('2.2 Emissions restes tallada'!P55="Crema","Sí",(IF('2.2 Emissions restes tallada'!P55="Descomposició","No",(IF('2.2 Emissions restes tallada'!P55="Producte","No"," ")))))</f>
        <v xml:space="preserve"> </v>
      </c>
      <c r="N48" s="109" t="str">
        <f t="shared" si="2"/>
        <v>Bt-</v>
      </c>
      <c r="O48" s="200" t="str">
        <f>IF(I48="No",0,IF(I48="Sí",((INDEX(Dades_PA!$B$101:$Y$127,(MATCH(F48,Dades_PA!$A$101:$A$127,0)),(MATCH(J48,Dades_PA!$B$100:$Y$100,0))))*((Dades_PA!$B$131))*H48*1000),""))</f>
        <v/>
      </c>
      <c r="P48" s="200" t="str">
        <f>IF(I48="No",0,IF(I48="Sí",((INDEX(Dades_PA!$B$101:$Y$127,(MATCH(F48,Dades_PA!$A$101:$A$127,0)),(MATCH(J48,Dades_PA!$B$100:$Y$100,0))))*((Dades_PA!$C$131))*H48*1000),""))</f>
        <v/>
      </c>
      <c r="Q48" s="200" t="str">
        <f>IF(K48="No",0,IF(K48="Sí",((INDEX(Dades_PA!$B$101:$Y$127,(MATCH(F48,Dades_PA!$A$101:$A$127,0)),(MATCH(L48,Dades_PA!$B$100:$Y$100,0))))*((Dades_PA!$B$131))*H48*1000),""))</f>
        <v/>
      </c>
      <c r="R48" s="200" t="str">
        <f>IF(K48="No",0,IF(K48="Sí",((INDEX(Dades_PA!$B$101:$Y$127,(MATCH(F48,Dades_PA!$A$101:$A$127,0)),(MATCH(L48,Dades_PA!$B$100:$Y$100,0))))*((Dades_PA!$C$131))*H48*1000),""))</f>
        <v/>
      </c>
      <c r="S48" s="200" t="str">
        <f>IF(M48="No",0,IF(M48="Sí",((INDEX(Dades_PA!$B$101:$Y$127,(MATCH(F48,Dades_PA!$A$101:$A$127,0)),(MATCH(N48,Dades_PA!$B$100:$Y$100,0))))*((Dades_PA!$B$131))*H48*1000),""))</f>
        <v/>
      </c>
      <c r="T48" s="200" t="str">
        <f>IF(M48="No",0,IF(M48="Sí",((INDEX(Dades_PA!$B$101:$Y$127,(MATCH(F48,Dades_PA!$A$101:$A$127,0)),(MATCH(N48,Dades_PA!$B$100:$Y$100,0))))*((Dades_PA!$C$131))*H48*1000),""))</f>
        <v/>
      </c>
      <c r="U48" s="203" t="str">
        <f>IFERROR(((((O48+Q48+S48)*Dades_PA!$B$135)+((P48+R48+T48)*Dades_PA!$B$136))/1000),"")</f>
        <v/>
      </c>
    </row>
    <row r="49" spans="5:21" ht="16.5" customHeight="1">
      <c r="E49" s="396"/>
      <c r="F49" s="195" t="str">
        <f>IF('2.1 Absorcions arbres'!E49=0,"",'2.1 Absorcions arbres'!E49)</f>
        <v/>
      </c>
      <c r="G49" s="202" t="str">
        <f t="shared" ref="G49:G56" si="7">$G$47</f>
        <v/>
      </c>
      <c r="H49" s="201" t="str">
        <f>IF('2.2 Emissions restes tallada'!I56="","",'2.2 Emissions restes tallada'!I56)</f>
        <v/>
      </c>
      <c r="I49" s="109" t="str">
        <f>IF('2.2 Emissions restes tallada'!L56="Crema","Sí",(IF('2.2 Emissions restes tallada'!L56="Descomposició","No",(IF('2.2 Emissions restes tallada'!L56="Producte","No"," ")))))</f>
        <v xml:space="preserve"> </v>
      </c>
      <c r="J49" s="109" t="str">
        <f t="shared" si="0"/>
        <v>Bb&lt;2iBf-</v>
      </c>
      <c r="K49" s="109" t="str">
        <f>IF('2.2 Emissions restes tallada'!N56="Crema","Sí",(IF('2.2 Emissions restes tallada'!N56="Descomposició","No",(IF('2.2 Emissions restes tallada'!N56="Producte","No"," ")))))</f>
        <v xml:space="preserve"> </v>
      </c>
      <c r="L49" s="109" t="str">
        <f t="shared" si="1"/>
        <v>Bb&gt;2-</v>
      </c>
      <c r="M49" s="109" t="str">
        <f>IF('2.2 Emissions restes tallada'!P56="Crema","Sí",(IF('2.2 Emissions restes tallada'!P56="Descomposició","No",(IF('2.2 Emissions restes tallada'!P56="Producte","No"," ")))))</f>
        <v xml:space="preserve"> </v>
      </c>
      <c r="N49" s="109" t="str">
        <f t="shared" si="2"/>
        <v>Bt-</v>
      </c>
      <c r="O49" s="200" t="str">
        <f>IF(I49="No",0,IF(I49="Sí",((INDEX(Dades_PA!$B$101:$Y$127,(MATCH(F49,Dades_PA!$A$101:$A$127,0)),(MATCH(J49,Dades_PA!$B$100:$Y$100,0))))*((Dades_PA!$B$131))*H49*1000),""))</f>
        <v/>
      </c>
      <c r="P49" s="200" t="str">
        <f>IF(I49="No",0,IF(I49="Sí",((INDEX(Dades_PA!$B$101:$Y$127,(MATCH(F49,Dades_PA!$A$101:$A$127,0)),(MATCH(J49,Dades_PA!$B$100:$Y$100,0))))*((Dades_PA!$C$131))*H49*1000),""))</f>
        <v/>
      </c>
      <c r="Q49" s="200" t="str">
        <f>IF(K49="No",0,IF(K49="Sí",((INDEX(Dades_PA!$B$101:$Y$127,(MATCH(F49,Dades_PA!$A$101:$A$127,0)),(MATCH(L49,Dades_PA!$B$100:$Y$100,0))))*((Dades_PA!$B$131))*H49*1000),""))</f>
        <v/>
      </c>
      <c r="R49" s="200" t="str">
        <f>IF(K49="No",0,IF(K49="Sí",((INDEX(Dades_PA!$B$101:$Y$127,(MATCH(F49,Dades_PA!$A$101:$A$127,0)),(MATCH(L49,Dades_PA!$B$100:$Y$100,0))))*((Dades_PA!$C$131))*H49*1000),""))</f>
        <v/>
      </c>
      <c r="S49" s="200" t="str">
        <f>IF(M49="No",0,IF(M49="Sí",((INDEX(Dades_PA!$B$101:$Y$127,(MATCH(F49,Dades_PA!$A$101:$A$127,0)),(MATCH(N49,Dades_PA!$B$100:$Y$100,0))))*((Dades_PA!$B$131))*H49*1000),""))</f>
        <v/>
      </c>
      <c r="T49" s="200" t="str">
        <f>IF(M49="No",0,IF(M49="Sí",((INDEX(Dades_PA!$B$101:$Y$127,(MATCH(F49,Dades_PA!$A$101:$A$127,0)),(MATCH(N49,Dades_PA!$B$100:$Y$100,0))))*((Dades_PA!$C$131))*H49*1000),""))</f>
        <v/>
      </c>
      <c r="U49" s="203" t="str">
        <f>IFERROR(((((O49+Q49+S49)*Dades_PA!$B$135)+((P49+R49+T49)*Dades_PA!$B$136))/1000),"")</f>
        <v/>
      </c>
    </row>
    <row r="50" spans="5:21" ht="16.5" customHeight="1">
      <c r="E50" s="396"/>
      <c r="F50" s="195" t="str">
        <f>IF('2.1 Absorcions arbres'!E50=0,"",'2.1 Absorcions arbres'!E50)</f>
        <v/>
      </c>
      <c r="G50" s="202" t="str">
        <f t="shared" si="7"/>
        <v/>
      </c>
      <c r="H50" s="201" t="str">
        <f>IF('2.2 Emissions restes tallada'!I57="","",'2.2 Emissions restes tallada'!I57)</f>
        <v/>
      </c>
      <c r="I50" s="109" t="str">
        <f>IF('2.2 Emissions restes tallada'!L57="Crema","Sí",(IF('2.2 Emissions restes tallada'!L57="Descomposició","No",(IF('2.2 Emissions restes tallada'!L57="Producte","No"," ")))))</f>
        <v xml:space="preserve"> </v>
      </c>
      <c r="J50" s="109" t="str">
        <f t="shared" si="0"/>
        <v>Bb&lt;2iBf-</v>
      </c>
      <c r="K50" s="109" t="str">
        <f>IF('2.2 Emissions restes tallada'!N57="Crema","Sí",(IF('2.2 Emissions restes tallada'!N57="Descomposició","No",(IF('2.2 Emissions restes tallada'!N57="Producte","No"," ")))))</f>
        <v xml:space="preserve"> </v>
      </c>
      <c r="L50" s="109" t="str">
        <f t="shared" si="1"/>
        <v>Bb&gt;2-</v>
      </c>
      <c r="M50" s="109" t="str">
        <f>IF('2.2 Emissions restes tallada'!P57="Crema","Sí",(IF('2.2 Emissions restes tallada'!P57="Descomposició","No",(IF('2.2 Emissions restes tallada'!P57="Producte","No"," ")))))</f>
        <v xml:space="preserve"> </v>
      </c>
      <c r="N50" s="109" t="str">
        <f t="shared" si="2"/>
        <v>Bt-</v>
      </c>
      <c r="O50" s="200" t="str">
        <f>IF(I50="No",0,IF(I50="Sí",((INDEX(Dades_PA!$B$101:$Y$127,(MATCH(F50,Dades_PA!$A$101:$A$127,0)),(MATCH(J50,Dades_PA!$B$100:$Y$100,0))))*((Dades_PA!$B$131))*H50*1000),""))</f>
        <v/>
      </c>
      <c r="P50" s="200" t="str">
        <f>IF(I50="No",0,IF(I50="Sí",((INDEX(Dades_PA!$B$101:$Y$127,(MATCH(F50,Dades_PA!$A$101:$A$127,0)),(MATCH(J50,Dades_PA!$B$100:$Y$100,0))))*((Dades_PA!$C$131))*H50*1000),""))</f>
        <v/>
      </c>
      <c r="Q50" s="200" t="str">
        <f>IF(K50="No",0,IF(K50="Sí",((INDEX(Dades_PA!$B$101:$Y$127,(MATCH(F50,Dades_PA!$A$101:$A$127,0)),(MATCH(L50,Dades_PA!$B$100:$Y$100,0))))*((Dades_PA!$B$131))*H50*1000),""))</f>
        <v/>
      </c>
      <c r="R50" s="200" t="str">
        <f>IF(K50="No",0,IF(K50="Sí",((INDEX(Dades_PA!$B$101:$Y$127,(MATCH(F50,Dades_PA!$A$101:$A$127,0)),(MATCH(L50,Dades_PA!$B$100:$Y$100,0))))*((Dades_PA!$C$131))*H50*1000),""))</f>
        <v/>
      </c>
      <c r="S50" s="200" t="str">
        <f>IF(M50="No",0,IF(M50="Sí",((INDEX(Dades_PA!$B$101:$Y$127,(MATCH(F50,Dades_PA!$A$101:$A$127,0)),(MATCH(N50,Dades_PA!$B$100:$Y$100,0))))*((Dades_PA!$B$131))*H50*1000),""))</f>
        <v/>
      </c>
      <c r="T50" s="200" t="str">
        <f>IF(M50="No",0,IF(M50="Sí",((INDEX(Dades_PA!$B$101:$Y$127,(MATCH(F50,Dades_PA!$A$101:$A$127,0)),(MATCH(N50,Dades_PA!$B$100:$Y$100,0))))*((Dades_PA!$C$131))*H50*1000),""))</f>
        <v/>
      </c>
      <c r="U50" s="203" t="str">
        <f>IFERROR(((((O50+Q50+S50)*Dades_PA!$B$135)+((P50+R50+T50)*Dades_PA!$B$136))/1000),"")</f>
        <v/>
      </c>
    </row>
    <row r="51" spans="5:21" ht="16.5" customHeight="1">
      <c r="E51" s="396"/>
      <c r="F51" s="195" t="str">
        <f>IF('2.1 Absorcions arbres'!E51=0,"",'2.1 Absorcions arbres'!E51)</f>
        <v/>
      </c>
      <c r="G51" s="202" t="str">
        <f t="shared" si="7"/>
        <v/>
      </c>
      <c r="H51" s="201" t="str">
        <f>IF('2.2 Emissions restes tallada'!I58="","",'2.2 Emissions restes tallada'!I58)</f>
        <v/>
      </c>
      <c r="I51" s="109" t="str">
        <f>IF('2.2 Emissions restes tallada'!L58="Crema","Sí",(IF('2.2 Emissions restes tallada'!L58="Descomposició","No",(IF('2.2 Emissions restes tallada'!L58="Producte","No"," ")))))</f>
        <v xml:space="preserve"> </v>
      </c>
      <c r="J51" s="109" t="str">
        <f t="shared" si="0"/>
        <v>Bb&lt;2iBf-</v>
      </c>
      <c r="K51" s="109" t="str">
        <f>IF('2.2 Emissions restes tallada'!N58="Crema","Sí",(IF('2.2 Emissions restes tallada'!N58="Descomposició","No",(IF('2.2 Emissions restes tallada'!N58="Producte","No"," ")))))</f>
        <v xml:space="preserve"> </v>
      </c>
      <c r="L51" s="109" t="str">
        <f t="shared" si="1"/>
        <v>Bb&gt;2-</v>
      </c>
      <c r="M51" s="109" t="str">
        <f>IF('2.2 Emissions restes tallada'!P58="Crema","Sí",(IF('2.2 Emissions restes tallada'!P58="Descomposició","No",(IF('2.2 Emissions restes tallada'!P58="Producte","No"," ")))))</f>
        <v xml:space="preserve"> </v>
      </c>
      <c r="N51" s="109" t="str">
        <f t="shared" si="2"/>
        <v>Bt-</v>
      </c>
      <c r="O51" s="200" t="str">
        <f>IF(I51="No",0,IF(I51="Sí",((INDEX(Dades_PA!$B$101:$Y$127,(MATCH(F51,Dades_PA!$A$101:$A$127,0)),(MATCH(J51,Dades_PA!$B$100:$Y$100,0))))*((Dades_PA!$B$131))*H51*1000),""))</f>
        <v/>
      </c>
      <c r="P51" s="200" t="str">
        <f>IF(I51="No",0,IF(I51="Sí",((INDEX(Dades_PA!$B$101:$Y$127,(MATCH(F51,Dades_PA!$A$101:$A$127,0)),(MATCH(J51,Dades_PA!$B$100:$Y$100,0))))*((Dades_PA!$C$131))*H51*1000),""))</f>
        <v/>
      </c>
      <c r="Q51" s="200" t="str">
        <f>IF(K51="No",0,IF(K51="Sí",((INDEX(Dades_PA!$B$101:$Y$127,(MATCH(F51,Dades_PA!$A$101:$A$127,0)),(MATCH(L51,Dades_PA!$B$100:$Y$100,0))))*((Dades_PA!$B$131))*H51*1000),""))</f>
        <v/>
      </c>
      <c r="R51" s="200" t="str">
        <f>IF(K51="No",0,IF(K51="Sí",((INDEX(Dades_PA!$B$101:$Y$127,(MATCH(F51,Dades_PA!$A$101:$A$127,0)),(MATCH(L51,Dades_PA!$B$100:$Y$100,0))))*((Dades_PA!$C$131))*H51*1000),""))</f>
        <v/>
      </c>
      <c r="S51" s="200" t="str">
        <f>IF(M51="No",0,IF(M51="Sí",((INDEX(Dades_PA!$B$101:$Y$127,(MATCH(F51,Dades_PA!$A$101:$A$127,0)),(MATCH(N51,Dades_PA!$B$100:$Y$100,0))))*((Dades_PA!$B$131))*H51*1000),""))</f>
        <v/>
      </c>
      <c r="T51" s="200" t="str">
        <f>IF(M51="No",0,IF(M51="Sí",((INDEX(Dades_PA!$B$101:$Y$127,(MATCH(F51,Dades_PA!$A$101:$A$127,0)),(MATCH(N51,Dades_PA!$B$100:$Y$100,0))))*((Dades_PA!$C$131))*H51*1000),""))</f>
        <v/>
      </c>
      <c r="U51" s="203" t="str">
        <f>IFERROR(((((O51+Q51+S51)*Dades_PA!$B$135)+((P51+R51+T51)*Dades_PA!$B$136))/1000),"")</f>
        <v/>
      </c>
    </row>
    <row r="52" spans="5:21" ht="16.5" customHeight="1">
      <c r="E52" s="396"/>
      <c r="F52" s="195" t="str">
        <f>IF('2.1 Absorcions arbres'!E52=0,"",'2.1 Absorcions arbres'!E52)</f>
        <v/>
      </c>
      <c r="G52" s="202" t="str">
        <f t="shared" si="7"/>
        <v/>
      </c>
      <c r="H52" s="201" t="str">
        <f>IF('2.2 Emissions restes tallada'!I59="","",'2.2 Emissions restes tallada'!I59)</f>
        <v/>
      </c>
      <c r="I52" s="109" t="str">
        <f>IF('2.2 Emissions restes tallada'!L59="Crema","Sí",(IF('2.2 Emissions restes tallada'!L59="Descomposició","No",(IF('2.2 Emissions restes tallada'!L59="Producte","No"," ")))))</f>
        <v xml:space="preserve"> </v>
      </c>
      <c r="J52" s="109" t="str">
        <f t="shared" si="0"/>
        <v>Bb&lt;2iBf-</v>
      </c>
      <c r="K52" s="109" t="str">
        <f>IF('2.2 Emissions restes tallada'!N59="Crema","Sí",(IF('2.2 Emissions restes tallada'!N59="Descomposició","No",(IF('2.2 Emissions restes tallada'!N59="Producte","No"," ")))))</f>
        <v xml:space="preserve"> </v>
      </c>
      <c r="L52" s="109" t="str">
        <f t="shared" si="1"/>
        <v>Bb&gt;2-</v>
      </c>
      <c r="M52" s="109" t="str">
        <f>IF('2.2 Emissions restes tallada'!P59="Crema","Sí",(IF('2.2 Emissions restes tallada'!P59="Descomposició","No",(IF('2.2 Emissions restes tallada'!P59="Producte","No"," ")))))</f>
        <v xml:space="preserve"> </v>
      </c>
      <c r="N52" s="109" t="str">
        <f t="shared" si="2"/>
        <v>Bt-</v>
      </c>
      <c r="O52" s="200" t="str">
        <f>IF(I52="No",0,IF(I52="Sí",((INDEX(Dades_PA!$B$101:$Y$127,(MATCH(F52,Dades_PA!$A$101:$A$127,0)),(MATCH(J52,Dades_PA!$B$100:$Y$100,0))))*((Dades_PA!$B$131))*H52*1000),""))</f>
        <v/>
      </c>
      <c r="P52" s="200" t="str">
        <f>IF(I52="No",0,IF(I52="Sí",((INDEX(Dades_PA!$B$101:$Y$127,(MATCH(F52,Dades_PA!$A$101:$A$127,0)),(MATCH(J52,Dades_PA!$B$100:$Y$100,0))))*((Dades_PA!$C$131))*H52*1000),""))</f>
        <v/>
      </c>
      <c r="Q52" s="200" t="str">
        <f>IF(K52="No",0,IF(K52="Sí",((INDEX(Dades_PA!$B$101:$Y$127,(MATCH(F52,Dades_PA!$A$101:$A$127,0)),(MATCH(L52,Dades_PA!$B$100:$Y$100,0))))*((Dades_PA!$B$131))*H52*1000),""))</f>
        <v/>
      </c>
      <c r="R52" s="200" t="str">
        <f>IF(K52="No",0,IF(K52="Sí",((INDEX(Dades_PA!$B$101:$Y$127,(MATCH(F52,Dades_PA!$A$101:$A$127,0)),(MATCH(L52,Dades_PA!$B$100:$Y$100,0))))*((Dades_PA!$C$131))*H52*1000),""))</f>
        <v/>
      </c>
      <c r="S52" s="200" t="str">
        <f>IF(M52="No",0,IF(M52="Sí",((INDEX(Dades_PA!$B$101:$Y$127,(MATCH(F52,Dades_PA!$A$101:$A$127,0)),(MATCH(N52,Dades_PA!$B$100:$Y$100,0))))*((Dades_PA!$B$131))*H52*1000),""))</f>
        <v/>
      </c>
      <c r="T52" s="200" t="str">
        <f>IF(M52="No",0,IF(M52="Sí",((INDEX(Dades_PA!$B$101:$Y$127,(MATCH(F52,Dades_PA!$A$101:$A$127,0)),(MATCH(N52,Dades_PA!$B$100:$Y$100,0))))*((Dades_PA!$C$131))*H52*1000),""))</f>
        <v/>
      </c>
      <c r="U52" s="203" t="str">
        <f>IFERROR(((((O52+Q52+S52)*Dades_PA!$B$135)+((P52+R52+T52)*Dades_PA!$B$136))/1000),"")</f>
        <v/>
      </c>
    </row>
    <row r="53" spans="5:21" ht="16.5" customHeight="1">
      <c r="E53" s="396"/>
      <c r="F53" s="195" t="str">
        <f>IF('2.1 Absorcions arbres'!E53=0,"",'2.1 Absorcions arbres'!E53)</f>
        <v/>
      </c>
      <c r="G53" s="202" t="str">
        <f t="shared" si="7"/>
        <v/>
      </c>
      <c r="H53" s="201" t="str">
        <f>IF('2.2 Emissions restes tallada'!I60="","",'2.2 Emissions restes tallada'!I60)</f>
        <v/>
      </c>
      <c r="I53" s="109" t="str">
        <f>IF('2.2 Emissions restes tallada'!L60="Crema","Sí",(IF('2.2 Emissions restes tallada'!L60="Descomposició","No",(IF('2.2 Emissions restes tallada'!L60="Producte","No"," ")))))</f>
        <v xml:space="preserve"> </v>
      </c>
      <c r="J53" s="109" t="str">
        <f t="shared" si="0"/>
        <v>Bb&lt;2iBf-</v>
      </c>
      <c r="K53" s="109" t="str">
        <f>IF('2.2 Emissions restes tallada'!N60="Crema","Sí",(IF('2.2 Emissions restes tallada'!N60="Descomposició","No",(IF('2.2 Emissions restes tallada'!N60="Producte","No"," ")))))</f>
        <v xml:space="preserve"> </v>
      </c>
      <c r="L53" s="109" t="str">
        <f t="shared" si="1"/>
        <v>Bb&gt;2-</v>
      </c>
      <c r="M53" s="109" t="str">
        <f>IF('2.2 Emissions restes tallada'!P60="Crema","Sí",(IF('2.2 Emissions restes tallada'!P60="Descomposició","No",(IF('2.2 Emissions restes tallada'!P60="Producte","No"," ")))))</f>
        <v xml:space="preserve"> </v>
      </c>
      <c r="N53" s="109" t="str">
        <f t="shared" si="2"/>
        <v>Bt-</v>
      </c>
      <c r="O53" s="200" t="str">
        <f>IF(I53="No",0,IF(I53="Sí",((INDEX(Dades_PA!$B$101:$Y$127,(MATCH(F53,Dades_PA!$A$101:$A$127,0)),(MATCH(J53,Dades_PA!$B$100:$Y$100,0))))*((Dades_PA!$B$131))*H53*1000),""))</f>
        <v/>
      </c>
      <c r="P53" s="200" t="str">
        <f>IF(I53="No",0,IF(I53="Sí",((INDEX(Dades_PA!$B$101:$Y$127,(MATCH(F53,Dades_PA!$A$101:$A$127,0)),(MATCH(J53,Dades_PA!$B$100:$Y$100,0))))*((Dades_PA!$C$131))*H53*1000),""))</f>
        <v/>
      </c>
      <c r="Q53" s="200" t="str">
        <f>IF(K53="No",0,IF(K53="Sí",((INDEX(Dades_PA!$B$101:$Y$127,(MATCH(F53,Dades_PA!$A$101:$A$127,0)),(MATCH(L53,Dades_PA!$B$100:$Y$100,0))))*((Dades_PA!$B$131))*H53*1000),""))</f>
        <v/>
      </c>
      <c r="R53" s="200" t="str">
        <f>IF(K53="No",0,IF(K53="Sí",((INDEX(Dades_PA!$B$101:$Y$127,(MATCH(F53,Dades_PA!$A$101:$A$127,0)),(MATCH(L53,Dades_PA!$B$100:$Y$100,0))))*((Dades_PA!$C$131))*H53*1000),""))</f>
        <v/>
      </c>
      <c r="S53" s="200" t="str">
        <f>IF(M53="No",0,IF(M53="Sí",((INDEX(Dades_PA!$B$101:$Y$127,(MATCH(F53,Dades_PA!$A$101:$A$127,0)),(MATCH(N53,Dades_PA!$B$100:$Y$100,0))))*((Dades_PA!$B$131))*H53*1000),""))</f>
        <v/>
      </c>
      <c r="T53" s="200" t="str">
        <f>IF(M53="No",0,IF(M53="Sí",((INDEX(Dades_PA!$B$101:$Y$127,(MATCH(F53,Dades_PA!$A$101:$A$127,0)),(MATCH(N53,Dades_PA!$B$100:$Y$100,0))))*((Dades_PA!$C$131))*H53*1000),""))</f>
        <v/>
      </c>
      <c r="U53" s="203" t="str">
        <f>IFERROR(((((O53+Q53+S53)*Dades_PA!$B$135)+((P53+R53+T53)*Dades_PA!$B$136))/1000),"")</f>
        <v/>
      </c>
    </row>
    <row r="54" spans="5:21" ht="16.5" customHeight="1">
      <c r="E54" s="396"/>
      <c r="F54" s="195" t="str">
        <f>IF('2.1 Absorcions arbres'!E54=0,"",'2.1 Absorcions arbres'!E54)</f>
        <v/>
      </c>
      <c r="G54" s="202" t="str">
        <f t="shared" si="7"/>
        <v/>
      </c>
      <c r="H54" s="201" t="str">
        <f>IF('2.2 Emissions restes tallada'!I61="","",'2.2 Emissions restes tallada'!I61)</f>
        <v/>
      </c>
      <c r="I54" s="109" t="str">
        <f>IF('2.2 Emissions restes tallada'!L61="Crema","Sí",(IF('2.2 Emissions restes tallada'!L61="Descomposició","No",(IF('2.2 Emissions restes tallada'!L61="Producte","No"," ")))))</f>
        <v xml:space="preserve"> </v>
      </c>
      <c r="J54" s="109" t="str">
        <f t="shared" si="0"/>
        <v>Bb&lt;2iBf-</v>
      </c>
      <c r="K54" s="109" t="str">
        <f>IF('2.2 Emissions restes tallada'!N61="Crema","Sí",(IF('2.2 Emissions restes tallada'!N61="Descomposició","No",(IF('2.2 Emissions restes tallada'!N61="Producte","No"," ")))))</f>
        <v xml:space="preserve"> </v>
      </c>
      <c r="L54" s="109" t="str">
        <f t="shared" si="1"/>
        <v>Bb&gt;2-</v>
      </c>
      <c r="M54" s="109" t="str">
        <f>IF('2.2 Emissions restes tallada'!P61="Crema","Sí",(IF('2.2 Emissions restes tallada'!P61="Descomposició","No",(IF('2.2 Emissions restes tallada'!P61="Producte","No"," ")))))</f>
        <v xml:space="preserve"> </v>
      </c>
      <c r="N54" s="109" t="str">
        <f t="shared" si="2"/>
        <v>Bt-</v>
      </c>
      <c r="O54" s="200" t="str">
        <f>IF(I54="No",0,IF(I54="Sí",((INDEX(Dades_PA!$B$101:$Y$127,(MATCH(F54,Dades_PA!$A$101:$A$127,0)),(MATCH(J54,Dades_PA!$B$100:$Y$100,0))))*((Dades_PA!$B$131))*H54*1000),""))</f>
        <v/>
      </c>
      <c r="P54" s="200" t="str">
        <f>IF(I54="No",0,IF(I54="Sí",((INDEX(Dades_PA!$B$101:$Y$127,(MATCH(F54,Dades_PA!$A$101:$A$127,0)),(MATCH(J54,Dades_PA!$B$100:$Y$100,0))))*((Dades_PA!$C$131))*H54*1000),""))</f>
        <v/>
      </c>
      <c r="Q54" s="200" t="str">
        <f>IF(K54="No",0,IF(K54="Sí",((INDEX(Dades_PA!$B$101:$Y$127,(MATCH(F54,Dades_PA!$A$101:$A$127,0)),(MATCH(L54,Dades_PA!$B$100:$Y$100,0))))*((Dades_PA!$B$131))*H54*1000),""))</f>
        <v/>
      </c>
      <c r="R54" s="200" t="str">
        <f>IF(K54="No",0,IF(K54="Sí",((INDEX(Dades_PA!$B$101:$Y$127,(MATCH(F54,Dades_PA!$A$101:$A$127,0)),(MATCH(L54,Dades_PA!$B$100:$Y$100,0))))*((Dades_PA!$C$131))*H54*1000),""))</f>
        <v/>
      </c>
      <c r="S54" s="200" t="str">
        <f>IF(M54="No",0,IF(M54="Sí",((INDEX(Dades_PA!$B$101:$Y$127,(MATCH(F54,Dades_PA!$A$101:$A$127,0)),(MATCH(N54,Dades_PA!$B$100:$Y$100,0))))*((Dades_PA!$B$131))*H54*1000),""))</f>
        <v/>
      </c>
      <c r="T54" s="200" t="str">
        <f>IF(M54="No",0,IF(M54="Sí",((INDEX(Dades_PA!$B$101:$Y$127,(MATCH(F54,Dades_PA!$A$101:$A$127,0)),(MATCH(N54,Dades_PA!$B$100:$Y$100,0))))*((Dades_PA!$C$131))*H54*1000),""))</f>
        <v/>
      </c>
      <c r="U54" s="203" t="str">
        <f>IFERROR(((((O54+Q54+S54)*Dades_PA!$B$135)+((P54+R54+T54)*Dades_PA!$B$136))/1000),"")</f>
        <v/>
      </c>
    </row>
    <row r="55" spans="5:21" ht="16.5" customHeight="1">
      <c r="E55" s="396"/>
      <c r="F55" s="195" t="str">
        <f>IF('2.1 Absorcions arbres'!E55=0,"",'2.1 Absorcions arbres'!E55)</f>
        <v/>
      </c>
      <c r="G55" s="202" t="str">
        <f t="shared" si="7"/>
        <v/>
      </c>
      <c r="H55" s="201" t="str">
        <f>IF('2.2 Emissions restes tallada'!I62="","",'2.2 Emissions restes tallada'!I62)</f>
        <v/>
      </c>
      <c r="I55" s="109" t="str">
        <f>IF('2.2 Emissions restes tallada'!L62="Crema","Sí",(IF('2.2 Emissions restes tallada'!L62="Descomposició","No",(IF('2.2 Emissions restes tallada'!L62="Producte","No"," ")))))</f>
        <v xml:space="preserve"> </v>
      </c>
      <c r="J55" s="109" t="str">
        <f t="shared" si="0"/>
        <v>Bb&lt;2iBf-</v>
      </c>
      <c r="K55" s="109" t="str">
        <f>IF('2.2 Emissions restes tallada'!N62="Crema","Sí",(IF('2.2 Emissions restes tallada'!N62="Descomposició","No",(IF('2.2 Emissions restes tallada'!N62="Producte","No"," ")))))</f>
        <v xml:space="preserve"> </v>
      </c>
      <c r="L55" s="109" t="str">
        <f t="shared" si="1"/>
        <v>Bb&gt;2-</v>
      </c>
      <c r="M55" s="109" t="str">
        <f>IF('2.2 Emissions restes tallada'!P62="Crema","Sí",(IF('2.2 Emissions restes tallada'!P62="Descomposició","No",(IF('2.2 Emissions restes tallada'!P62="Producte","No"," ")))))</f>
        <v xml:space="preserve"> </v>
      </c>
      <c r="N55" s="109" t="str">
        <f t="shared" si="2"/>
        <v>Bt-</v>
      </c>
      <c r="O55" s="200" t="str">
        <f>IF(I55="No",0,IF(I55="Sí",((INDEX(Dades_PA!$B$101:$Y$127,(MATCH(F55,Dades_PA!$A$101:$A$127,0)),(MATCH(J55,Dades_PA!$B$100:$Y$100,0))))*((Dades_PA!$B$131))*H55*1000),""))</f>
        <v/>
      </c>
      <c r="P55" s="200" t="str">
        <f>IF(I55="No",0,IF(I55="Sí",((INDEX(Dades_PA!$B$101:$Y$127,(MATCH(F55,Dades_PA!$A$101:$A$127,0)),(MATCH(J55,Dades_PA!$B$100:$Y$100,0))))*((Dades_PA!$C$131))*H55*1000),""))</f>
        <v/>
      </c>
      <c r="Q55" s="200" t="str">
        <f>IF(K55="No",0,IF(K55="Sí",((INDEX(Dades_PA!$B$101:$Y$127,(MATCH(F55,Dades_PA!$A$101:$A$127,0)),(MATCH(L55,Dades_PA!$B$100:$Y$100,0))))*((Dades_PA!$B$131))*H55*1000),""))</f>
        <v/>
      </c>
      <c r="R55" s="200" t="str">
        <f>IF(K55="No",0,IF(K55="Sí",((INDEX(Dades_PA!$B$101:$Y$127,(MATCH(F55,Dades_PA!$A$101:$A$127,0)),(MATCH(L55,Dades_PA!$B$100:$Y$100,0))))*((Dades_PA!$C$131))*H55*1000),""))</f>
        <v/>
      </c>
      <c r="S55" s="200" t="str">
        <f>IF(M55="No",0,IF(M55="Sí",((INDEX(Dades_PA!$B$101:$Y$127,(MATCH(F55,Dades_PA!$A$101:$A$127,0)),(MATCH(N55,Dades_PA!$B$100:$Y$100,0))))*((Dades_PA!$B$131))*H55*1000),""))</f>
        <v/>
      </c>
      <c r="T55" s="200" t="str">
        <f>IF(M55="No",0,IF(M55="Sí",((INDEX(Dades_PA!$B$101:$Y$127,(MATCH(F55,Dades_PA!$A$101:$A$127,0)),(MATCH(N55,Dades_PA!$B$100:$Y$100,0))))*((Dades_PA!$C$131))*H55*1000),""))</f>
        <v/>
      </c>
      <c r="U55" s="203" t="str">
        <f>IFERROR(((((O55+Q55+S55)*Dades_PA!$B$135)+((P55+R55+T55)*Dades_PA!$B$136))/1000),"")</f>
        <v/>
      </c>
    </row>
    <row r="56" spans="5:21" ht="16.5" customHeight="1" thickBot="1">
      <c r="E56" s="397"/>
      <c r="F56" s="196" t="str">
        <f>IF('2.1 Absorcions arbres'!E56=0,"",'2.1 Absorcions arbres'!E56)</f>
        <v/>
      </c>
      <c r="G56" s="212" t="str">
        <f t="shared" si="7"/>
        <v/>
      </c>
      <c r="H56" s="213" t="str">
        <f>IF('2.2 Emissions restes tallada'!I63="","",'2.2 Emissions restes tallada'!I63)</f>
        <v/>
      </c>
      <c r="I56" s="113" t="str">
        <f>IF('2.2 Emissions restes tallada'!L63="Crema","Sí",(IF('2.2 Emissions restes tallada'!L63="Descomposició","No",(IF('2.2 Emissions restes tallada'!L63="Producte","No"," ")))))</f>
        <v xml:space="preserve"> </v>
      </c>
      <c r="J56" s="113" t="str">
        <f t="shared" si="0"/>
        <v>Bb&lt;2iBf-</v>
      </c>
      <c r="K56" s="113" t="str">
        <f>IF('2.2 Emissions restes tallada'!N63="Crema","Sí",(IF('2.2 Emissions restes tallada'!N63="Descomposició","No",(IF('2.2 Emissions restes tallada'!N63="Producte","No"," ")))))</f>
        <v xml:space="preserve"> </v>
      </c>
      <c r="L56" s="113" t="str">
        <f t="shared" si="1"/>
        <v>Bb&gt;2-</v>
      </c>
      <c r="M56" s="113" t="str">
        <f>IF('2.2 Emissions restes tallada'!P63="Crema","Sí",(IF('2.2 Emissions restes tallada'!P63="Descomposició","No",(IF('2.2 Emissions restes tallada'!P63="Producte","No"," ")))))</f>
        <v xml:space="preserve"> </v>
      </c>
      <c r="N56" s="113" t="str">
        <f t="shared" si="2"/>
        <v>Bt-</v>
      </c>
      <c r="O56" s="214" t="str">
        <f>IF(I56="No",0,IF(I56="Sí",((INDEX(Dades_PA!$B$101:$Y$127,(MATCH(F56,Dades_PA!$A$101:$A$127,0)),(MATCH(J56,Dades_PA!$B$100:$Y$100,0))))*((Dades_PA!$B$131))*H56*1000),""))</f>
        <v/>
      </c>
      <c r="P56" s="214" t="str">
        <f>IF(I56="No",0,IF(I56="Sí",((INDEX(Dades_PA!$B$101:$Y$127,(MATCH(F56,Dades_PA!$A$101:$A$127,0)),(MATCH(J56,Dades_PA!$B$100:$Y$100,0))))*((Dades_PA!$C$131))*H56*1000),""))</f>
        <v/>
      </c>
      <c r="Q56" s="214" t="str">
        <f>IF(K56="No",0,IF(K56="Sí",((INDEX(Dades_PA!$B$101:$Y$127,(MATCH(F56,Dades_PA!$A$101:$A$127,0)),(MATCH(L56,Dades_PA!$B$100:$Y$100,0))))*((Dades_PA!$B$131))*H56*1000),""))</f>
        <v/>
      </c>
      <c r="R56" s="214" t="str">
        <f>IF(K56="No",0,IF(K56="Sí",((INDEX(Dades_PA!$B$101:$Y$127,(MATCH(F56,Dades_PA!$A$101:$A$127,0)),(MATCH(L56,Dades_PA!$B$100:$Y$100,0))))*((Dades_PA!$C$131))*H56*1000),""))</f>
        <v/>
      </c>
      <c r="S56" s="214" t="str">
        <f>IF(M56="No",0,IF(M56="Sí",((INDEX(Dades_PA!$B$101:$Y$127,(MATCH(F56,Dades_PA!$A$101:$A$127,0)),(MATCH(N56,Dades_PA!$B$100:$Y$100,0))))*((Dades_PA!$B$131))*H56*1000),""))</f>
        <v/>
      </c>
      <c r="T56" s="214" t="str">
        <f>IF(M56="No",0,IF(M56="Sí",((INDEX(Dades_PA!$B$101:$Y$127,(MATCH(F56,Dades_PA!$A$101:$A$127,0)),(MATCH(N56,Dades_PA!$B$100:$Y$100,0))))*((Dades_PA!$C$131))*H56*1000),""))</f>
        <v/>
      </c>
      <c r="U56" s="215" t="str">
        <f>IFERROR(((((O56+Q56+S56)*Dades_PA!$B$135)+((P56+R56+T56)*Dades_PA!$B$136))/1000),"")</f>
        <v/>
      </c>
    </row>
    <row r="57" spans="5:21" ht="16.5" customHeight="1" thickBot="1">
      <c r="E57" s="132" t="s">
        <v>15</v>
      </c>
      <c r="F57" s="133" t="s">
        <v>14</v>
      </c>
      <c r="G57" s="133" t="s">
        <v>14</v>
      </c>
      <c r="H57" s="134">
        <f>SUM(H7:H56)</f>
        <v>0</v>
      </c>
      <c r="I57" s="133" t="s">
        <v>14</v>
      </c>
      <c r="J57" s="133"/>
      <c r="K57" s="133" t="s">
        <v>14</v>
      </c>
      <c r="L57" s="133"/>
      <c r="M57" s="133" t="s">
        <v>14</v>
      </c>
      <c r="N57" s="133"/>
      <c r="O57" s="135">
        <f>SUM(O7:O56)</f>
        <v>0</v>
      </c>
      <c r="P57" s="135">
        <f t="shared" ref="P57:T57" si="8">SUM(P7:P56)</f>
        <v>0</v>
      </c>
      <c r="Q57" s="135">
        <f t="shared" si="8"/>
        <v>0</v>
      </c>
      <c r="R57" s="135">
        <f t="shared" si="8"/>
        <v>0</v>
      </c>
      <c r="S57" s="135">
        <f t="shared" si="8"/>
        <v>0</v>
      </c>
      <c r="T57" s="135">
        <f t="shared" si="8"/>
        <v>0</v>
      </c>
      <c r="U57" s="136">
        <f>SUM(U7:U56)</f>
        <v>0</v>
      </c>
    </row>
    <row r="58" spans="5:21" ht="16.5" customHeight="1"/>
    <row r="59" spans="5:21" ht="16.5" customHeight="1">
      <c r="E59" s="359" t="s">
        <v>254</v>
      </c>
      <c r="F59" s="360"/>
      <c r="G59" s="360"/>
      <c r="H59" s="360"/>
      <c r="I59" s="360"/>
      <c r="J59" s="360"/>
      <c r="K59" s="360"/>
      <c r="L59" s="360"/>
      <c r="M59" s="360"/>
      <c r="N59" s="360"/>
      <c r="O59" s="360"/>
      <c r="P59" s="360"/>
      <c r="Q59" s="360"/>
      <c r="R59" s="360"/>
      <c r="S59" s="360"/>
      <c r="T59" s="360"/>
      <c r="U59" s="361"/>
    </row>
    <row r="60" spans="5:21">
      <c r="E60" s="362"/>
      <c r="F60" s="363"/>
      <c r="G60" s="363"/>
      <c r="H60" s="363"/>
      <c r="I60" s="363"/>
      <c r="J60" s="363"/>
      <c r="K60" s="363"/>
      <c r="L60" s="363"/>
      <c r="M60" s="363"/>
      <c r="N60" s="363"/>
      <c r="O60" s="363"/>
      <c r="P60" s="363"/>
      <c r="Q60" s="363"/>
      <c r="R60" s="363"/>
      <c r="S60" s="363"/>
      <c r="T60" s="363"/>
      <c r="U60" s="364"/>
    </row>
    <row r="61" spans="5:21">
      <c r="E61" s="365"/>
      <c r="F61" s="366"/>
      <c r="G61" s="366"/>
      <c r="H61" s="366"/>
      <c r="I61" s="366"/>
      <c r="J61" s="366"/>
      <c r="K61" s="366"/>
      <c r="L61" s="366"/>
      <c r="M61" s="366"/>
      <c r="N61" s="366"/>
      <c r="O61" s="366"/>
      <c r="P61" s="366"/>
      <c r="Q61" s="366"/>
      <c r="R61" s="366"/>
      <c r="S61" s="366"/>
      <c r="T61" s="366"/>
      <c r="U61" s="367"/>
    </row>
    <row r="106" ht="15" customHeight="1"/>
  </sheetData>
  <sheetProtection sheet="1" objects="1" scenarios="1"/>
  <mergeCells count="25">
    <mergeCell ref="C1:V1"/>
    <mergeCell ref="E3:V3"/>
    <mergeCell ref="E5:E6"/>
    <mergeCell ref="F5:F6"/>
    <mergeCell ref="G5:G6"/>
    <mergeCell ref="H5:H6"/>
    <mergeCell ref="I5:I6"/>
    <mergeCell ref="J5:J6"/>
    <mergeCell ref="K5:K6"/>
    <mergeCell ref="L5:L6"/>
    <mergeCell ref="P5:P6"/>
    <mergeCell ref="M5:M6"/>
    <mergeCell ref="N5:N6"/>
    <mergeCell ref="O5:O6"/>
    <mergeCell ref="Q5:Q6"/>
    <mergeCell ref="E59:U61"/>
    <mergeCell ref="S5:S6"/>
    <mergeCell ref="U5:U6"/>
    <mergeCell ref="R5:R6"/>
    <mergeCell ref="T5:T6"/>
    <mergeCell ref="E27:E36"/>
    <mergeCell ref="E37:E46"/>
    <mergeCell ref="E47:E56"/>
    <mergeCell ref="E7:E16"/>
    <mergeCell ref="E17:E26"/>
  </mergeCells>
  <dataValidations disablePrompts="1" count="1">
    <dataValidation allowBlank="1" showInputMessage="1" showErrorMessage="1" error="Any incorrecte" sqref="G7:G56"/>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dimension ref="A1:AMG110"/>
  <sheetViews>
    <sheetView topLeftCell="A3" zoomScale="55" zoomScaleNormal="55" workbookViewId="0">
      <pane xSplit="1" topLeftCell="B1" activePane="topRight" state="frozen"/>
      <selection activeCell="C1" sqref="C1:M1"/>
      <selection pane="topRight" activeCell="X24" sqref="X24"/>
    </sheetView>
  </sheetViews>
  <sheetFormatPr baseColWidth="10" defaultColWidth="9.140625" defaultRowHeight="15"/>
  <cols>
    <col min="1" max="1" width="55.7109375" style="58" customWidth="1"/>
    <col min="2" max="2" width="1.7109375" style="45" customWidth="1"/>
    <col min="3" max="3" width="1" style="45" customWidth="1"/>
    <col min="4" max="4" width="1.42578125" style="59" customWidth="1"/>
    <col min="5" max="5" width="21.85546875" style="59" customWidth="1"/>
    <col min="6" max="6" width="38.7109375" style="59" customWidth="1"/>
    <col min="7" max="7" width="15.28515625" style="59" hidden="1" customWidth="1"/>
    <col min="8" max="8" width="19.28515625" style="59" bestFit="1" customWidth="1"/>
    <col min="9" max="9" width="20.7109375" style="59" customWidth="1"/>
    <col min="10" max="10" width="20.7109375" style="59" hidden="1" customWidth="1"/>
    <col min="11" max="11" width="20.7109375" style="59" customWidth="1"/>
    <col min="12" max="12" width="20.7109375" style="59" hidden="1" customWidth="1"/>
    <col min="13" max="13" width="21.5703125" style="59" customWidth="1"/>
    <col min="14" max="14" width="20.7109375" style="59" hidden="1" customWidth="1"/>
    <col min="15" max="17" width="24.7109375" style="59" customWidth="1"/>
    <col min="18" max="18" width="18.42578125" style="59" customWidth="1"/>
    <col min="19" max="19" width="4.5703125" style="59" customWidth="1"/>
    <col min="20" max="1021" width="9.140625" style="59"/>
    <col min="1022" max="16384" width="9.140625" style="46"/>
  </cols>
  <sheetData>
    <row r="1" spans="1:19" ht="40.700000000000003" customHeight="1">
      <c r="B1" s="3"/>
      <c r="C1" s="399" t="s">
        <v>209</v>
      </c>
      <c r="D1" s="399"/>
      <c r="E1" s="399"/>
      <c r="F1" s="399"/>
      <c r="G1" s="399"/>
      <c r="H1" s="399"/>
      <c r="I1" s="399"/>
      <c r="J1" s="399"/>
      <c r="K1" s="399"/>
      <c r="L1" s="399"/>
      <c r="M1" s="399"/>
      <c r="N1" s="399"/>
      <c r="O1" s="399"/>
      <c r="P1" s="399"/>
      <c r="Q1" s="399"/>
      <c r="R1" s="399"/>
      <c r="S1" s="399"/>
    </row>
    <row r="2" spans="1:19" ht="40.700000000000003" customHeight="1">
      <c r="B2" s="3"/>
    </row>
    <row r="3" spans="1:19" ht="16.5" customHeight="1">
      <c r="A3" s="5"/>
      <c r="B3" s="4"/>
      <c r="E3" s="368" t="s">
        <v>255</v>
      </c>
      <c r="F3" s="400"/>
      <c r="G3" s="400"/>
      <c r="H3" s="400"/>
      <c r="I3" s="400"/>
      <c r="J3" s="400"/>
      <c r="K3" s="400"/>
      <c r="L3" s="400"/>
      <c r="M3" s="400"/>
      <c r="N3" s="400"/>
      <c r="O3" s="400"/>
      <c r="P3" s="400"/>
      <c r="Q3" s="400"/>
      <c r="R3" s="400"/>
      <c r="S3" s="216"/>
    </row>
    <row r="4" spans="1:19" ht="14.25" customHeight="1">
      <c r="A4" s="166" t="s">
        <v>171</v>
      </c>
      <c r="B4" s="4"/>
      <c r="E4" s="400"/>
      <c r="F4" s="400"/>
      <c r="G4" s="400"/>
      <c r="H4" s="400"/>
      <c r="I4" s="400"/>
      <c r="J4" s="400"/>
      <c r="K4" s="400"/>
      <c r="L4" s="400"/>
      <c r="M4" s="400"/>
      <c r="N4" s="400"/>
      <c r="O4" s="400"/>
      <c r="P4" s="400"/>
      <c r="Q4" s="400"/>
      <c r="R4" s="400"/>
      <c r="S4" s="216"/>
    </row>
    <row r="5" spans="1:19" ht="16.5" customHeight="1">
      <c r="A5" s="166" t="s">
        <v>172</v>
      </c>
      <c r="B5" s="4"/>
      <c r="E5" s="400"/>
      <c r="F5" s="400"/>
      <c r="G5" s="400"/>
      <c r="H5" s="400"/>
      <c r="I5" s="400"/>
      <c r="J5" s="400"/>
      <c r="K5" s="400"/>
      <c r="L5" s="400"/>
      <c r="M5" s="400"/>
      <c r="N5" s="400"/>
      <c r="O5" s="400"/>
      <c r="P5" s="400"/>
      <c r="Q5" s="400"/>
      <c r="R5" s="400"/>
      <c r="S5" s="216"/>
    </row>
    <row r="6" spans="1:19" ht="16.5" customHeight="1">
      <c r="A6" s="166" t="s">
        <v>219</v>
      </c>
      <c r="B6" s="4"/>
      <c r="C6" s="60"/>
      <c r="D6" s="45"/>
      <c r="E6" s="400"/>
      <c r="F6" s="400"/>
      <c r="G6" s="400"/>
      <c r="H6" s="400"/>
      <c r="I6" s="400"/>
      <c r="J6" s="400"/>
      <c r="K6" s="400"/>
      <c r="L6" s="400"/>
      <c r="M6" s="400"/>
      <c r="N6" s="400"/>
      <c r="O6" s="400"/>
      <c r="P6" s="400"/>
      <c r="Q6" s="400"/>
      <c r="R6" s="400"/>
      <c r="S6" s="216"/>
    </row>
    <row r="7" spans="1:19" ht="16.5" customHeight="1">
      <c r="A7" s="166" t="s">
        <v>173</v>
      </c>
      <c r="B7" s="4"/>
      <c r="E7" s="400"/>
      <c r="F7" s="400"/>
      <c r="G7" s="400"/>
      <c r="H7" s="400"/>
      <c r="I7" s="400"/>
      <c r="J7" s="400"/>
      <c r="K7" s="400"/>
      <c r="L7" s="400"/>
      <c r="M7" s="400"/>
      <c r="N7" s="400"/>
      <c r="O7" s="400"/>
      <c r="P7" s="400"/>
      <c r="Q7" s="400"/>
      <c r="R7" s="400"/>
      <c r="S7" s="216"/>
    </row>
    <row r="8" spans="1:19" ht="16.5" customHeight="1" thickBot="1">
      <c r="A8" s="166" t="s">
        <v>220</v>
      </c>
      <c r="E8" s="400"/>
      <c r="F8" s="400"/>
      <c r="G8" s="400"/>
      <c r="H8" s="400"/>
      <c r="I8" s="400"/>
      <c r="J8" s="400"/>
      <c r="K8" s="400"/>
      <c r="L8" s="400"/>
      <c r="M8" s="400"/>
      <c r="N8" s="400"/>
      <c r="O8" s="400"/>
      <c r="P8" s="400"/>
      <c r="Q8" s="400"/>
      <c r="R8" s="400"/>
      <c r="S8" s="216"/>
    </row>
    <row r="9" spans="1:19" ht="21.75" customHeight="1">
      <c r="A9" s="166" t="s">
        <v>174</v>
      </c>
      <c r="E9" s="338" t="s">
        <v>200</v>
      </c>
      <c r="F9" s="335" t="s">
        <v>125</v>
      </c>
      <c r="G9" s="370" t="s">
        <v>122</v>
      </c>
      <c r="H9" s="335" t="s">
        <v>126</v>
      </c>
      <c r="I9" s="335" t="s">
        <v>131</v>
      </c>
      <c r="J9" s="370" t="s">
        <v>135</v>
      </c>
      <c r="K9" s="335" t="s">
        <v>132</v>
      </c>
      <c r="L9" s="370" t="s">
        <v>136</v>
      </c>
      <c r="M9" s="335" t="s">
        <v>133</v>
      </c>
      <c r="N9" s="370" t="s">
        <v>137</v>
      </c>
      <c r="O9" s="335" t="s">
        <v>256</v>
      </c>
      <c r="P9" s="335" t="s">
        <v>257</v>
      </c>
      <c r="Q9" s="335" t="s">
        <v>258</v>
      </c>
      <c r="R9" s="342" t="s">
        <v>259</v>
      </c>
    </row>
    <row r="10" spans="1:19" s="61" customFormat="1" ht="16.5" customHeight="1" thickBot="1">
      <c r="A10" s="166" t="s">
        <v>175</v>
      </c>
      <c r="B10" s="45"/>
      <c r="C10" s="45"/>
      <c r="D10" s="59"/>
      <c r="E10" s="340"/>
      <c r="F10" s="369"/>
      <c r="G10" s="371"/>
      <c r="H10" s="369"/>
      <c r="I10" s="369"/>
      <c r="J10" s="371"/>
      <c r="K10" s="369"/>
      <c r="L10" s="371"/>
      <c r="M10" s="369"/>
      <c r="N10" s="371"/>
      <c r="O10" s="369"/>
      <c r="P10" s="369"/>
      <c r="Q10" s="369"/>
      <c r="R10" s="372"/>
    </row>
    <row r="11" spans="1:19" ht="16.5" customHeight="1">
      <c r="E11" s="395" t="str">
        <f>IF(('1. Dades generals del projecte'!D30)="","",('1. Dades generals del projecte'!D30))</f>
        <v/>
      </c>
      <c r="F11" s="194" t="str">
        <f>IF('2.1 Absorcions arbres'!E7=0,"",'2.1 Absorcions arbres'!E7)</f>
        <v/>
      </c>
      <c r="G11" s="209" t="str">
        <f>IF(('2.1 Absorcions arbres'!H7&gt;0),('2.1 Absorcions arbres'!H7),"")</f>
        <v/>
      </c>
      <c r="H11" s="210" t="str">
        <f>IF('2.2 Emissions restes tallada'!I14="","",'2.2 Emissions restes tallada'!I14)</f>
        <v/>
      </c>
      <c r="I11" s="101"/>
      <c r="J11" s="114" t="str">
        <f t="shared" ref="J11:J60" si="0">CONCATENATE("Bb&lt;2iBf-",G11)</f>
        <v>Bb&lt;2iBf-</v>
      </c>
      <c r="K11" s="101"/>
      <c r="L11" s="114" t="str">
        <f t="shared" ref="L11:L60" si="1">CONCATENATE("Bb&gt;2-",G11)</f>
        <v>Bb&gt;2-</v>
      </c>
      <c r="M11" s="101"/>
      <c r="N11" s="105" t="str">
        <f>CONCATENATE("Bt-",G11)</f>
        <v>Bt-</v>
      </c>
      <c r="O11" s="194" t="str">
        <f>IF(I11="Vida útil curta (&lt;2 anys)",((INDEX(Dades_PA!$B$45:$Y$71,(MATCH(F11,Espècies,0)),(MATCH(J11,Dades_PA!$B$44:$Y$44,0))))*H11*(Dades_PA!$B$142/100)),IF(I11="Vida útil mitjana (&lt;10 anys)",((INDEX(Dades_PA!$B$45:$Y$71,(MATCH(F11,Espècies,0)),(MATCH(J11,Dades_PA!$B$44:$Y$44,0))))*H11*(Dades_PA!$B$143/100)),IF(I11="Vida útil llarga (&gt;30 anys)",Dades_PA!$B$144,IF(I11="No s'obté producte",Dades_PA!$B$145,""))))</f>
        <v/>
      </c>
      <c r="P11" s="194" t="str">
        <f>IF(K11="Vida útil curta (&lt;2 anys)",((INDEX(Dades_PA!$B$45:$Y$71,(MATCH(F11,Espècies,0)),(MATCH(L11,Dades_PA!$B$44:$Y$44,0))))*H11*(Dades_PA!$B$142/100)),IF(K11="Vida útil mitjana (&lt;10 anys)",((INDEX(Dades_PA!$B$45:$Y$71,(MATCH(F11,Espècies,0)),(MATCH(L11,Dades_PA!$B$44:$Y$44,0))))*H11*(Dades_PA!$B$143/100)),IF(K11="Vida útil llarga (&gt;30 anys)",Dades_PA!$B$144,IF(K11="No s'obté producte",Dades_PA!$B$145,""))))</f>
        <v/>
      </c>
      <c r="Q11" s="194" t="str">
        <f>IF(M11="Vida útil curta (&lt;2 anys)",((INDEX(Dades_PA!$B$45:$Y$71,(MATCH(F11,Espècies,0)),(MATCH(N11,Dades_PA!$B$44:$Y$44,0))))*H11*(Dades_PA!$B$142/100)),IF(M11="Vida útil mitjana (&lt;10 anys)",((INDEX(Dades_PA!$B$45:$Y$71,(MATCH(F11,Espècies,0)),(MATCH(N11,Dades_PA!$B$44:$Y$44,0))))*H11*(Dades_PA!$B$143/100)),IF(M11="Vida útil llarga (&gt;30 anys)",Dades_PA!$B$144,IF(M11="No s'obté producte",Dades_PA!$B$145,""))))</f>
        <v/>
      </c>
      <c r="R11" s="129" t="str">
        <f>IF(O11="","",SUM(O11:Q11))</f>
        <v/>
      </c>
    </row>
    <row r="12" spans="1:19" ht="15.75" customHeight="1">
      <c r="E12" s="396"/>
      <c r="F12" s="195" t="str">
        <f>IF('2.1 Absorcions arbres'!E8=0,"",'2.1 Absorcions arbres'!E8)</f>
        <v/>
      </c>
      <c r="G12" s="202" t="str">
        <f>$G$11</f>
        <v/>
      </c>
      <c r="H12" s="201" t="str">
        <f>IF('2.2 Emissions restes tallada'!I15="","",'2.2 Emissions restes tallada'!I15)</f>
        <v/>
      </c>
      <c r="I12" s="116"/>
      <c r="J12" s="115" t="str">
        <f t="shared" si="0"/>
        <v>Bb&lt;2iBf-</v>
      </c>
      <c r="K12" s="116"/>
      <c r="L12" s="115" t="str">
        <f t="shared" si="1"/>
        <v>Bb&gt;2-</v>
      </c>
      <c r="M12" s="116"/>
      <c r="N12" s="109" t="str">
        <f t="shared" ref="N12:N60" si="2">CONCATENATE("Bt-",G12)</f>
        <v>Bt-</v>
      </c>
      <c r="O12" s="200" t="str">
        <f>IF(I12="Vida útil curta (&lt;2 anys)",((INDEX(Dades_PA!$B$45:$Y$71,(MATCH(F12,Espècies,0)),(MATCH(J12,Dades_PA!$B$44:$Y$44,0))))*H12*(Dades_PA!$B$142/100)),IF(I12="Vida útil mitjana (&lt;10 anys)",((INDEX(Dades_PA!$B$45:$Y$71,(MATCH(F12,Espècies,0)),(MATCH(J12,Dades_PA!$B$44:$Y$44,0))))*H12*(Dades_PA!$B$143/100)),IF(I12="Vida útil llarga (&gt;30 anys)",Dades_PA!$B$144,IF(I12="No s'obté producte",Dades_PA!$B$145,""))))</f>
        <v/>
      </c>
      <c r="P12" s="200" t="str">
        <f>IF(K12="Vida útil curta (&lt;2 anys)",((INDEX(Dades_PA!$B$45:$Y$71,(MATCH(F12,Espècies,0)),(MATCH(L12,Dades_PA!$B$44:$Y$44,0))))*H12*(Dades_PA!$B$142/100)),IF(K12="Vida útil mitjana (&lt;10 anys)",((INDEX(Dades_PA!$B$45:$Y$71,(MATCH(F12,Espècies,0)),(MATCH(L12,Dades_PA!$B$44:$Y$44,0))))*H12*(Dades_PA!$B$143/100)),IF(K12="Vida útil llarga (&gt;30 anys)",Dades_PA!$B$144,IF(K12="No s'obté producte",Dades_PA!$B$145,""))))</f>
        <v/>
      </c>
      <c r="Q12" s="200" t="str">
        <f>IF(M12="Vida útil curta (&lt;2 anys)",((INDEX(Dades_PA!$B$45:$Y$71,(MATCH(F12,Espècies,0)),(MATCH(N12,Dades_PA!$B$44:$Y$44,0))))*H12*(Dades_PA!$B$142/100)),IF(M12="Vida útil mitjana (&lt;10 anys)",((INDEX(Dades_PA!$B$45:$Y$71,(MATCH(F12,Espècies,0)),(MATCH(N12,Dades_PA!$B$44:$Y$44,0))))*H12*(Dades_PA!$B$143/100)),IF(M12="Vida útil llarga (&gt;30 anys)",Dades_PA!$B$144,IF(M12="No s'obté producte",Dades_PA!$B$145,""))))</f>
        <v/>
      </c>
      <c r="R12" s="130" t="str">
        <f t="shared" ref="R12:R60" si="3">IF(O12="","",SUM(O12:Q12))</f>
        <v/>
      </c>
    </row>
    <row r="13" spans="1:19" ht="15.75" customHeight="1">
      <c r="E13" s="396"/>
      <c r="F13" s="195" t="str">
        <f>IF('2.1 Absorcions arbres'!E9=0,"",'2.1 Absorcions arbres'!E9)</f>
        <v/>
      </c>
      <c r="G13" s="202" t="str">
        <f t="shared" ref="G13:G20" si="4">$G$11</f>
        <v/>
      </c>
      <c r="H13" s="201" t="str">
        <f>IF('2.2 Emissions restes tallada'!I16="","",'2.2 Emissions restes tallada'!I16)</f>
        <v/>
      </c>
      <c r="I13" s="116"/>
      <c r="J13" s="115" t="str">
        <f t="shared" si="0"/>
        <v>Bb&lt;2iBf-</v>
      </c>
      <c r="K13" s="116"/>
      <c r="L13" s="115" t="str">
        <f t="shared" si="1"/>
        <v>Bb&gt;2-</v>
      </c>
      <c r="M13" s="116"/>
      <c r="N13" s="109" t="str">
        <f t="shared" si="2"/>
        <v>Bt-</v>
      </c>
      <c r="O13" s="200" t="str">
        <f>IF(I13="Vida útil curta (&lt;2 anys)",((INDEX(Dades_PA!$B$45:$Y$71,(MATCH(F13,Espècies,0)),(MATCH(J13,Dades_PA!$B$44:$Y$44,0))))*H13*(Dades_PA!$B$142/100)),IF(I13="Vida útil mitjana (&lt;10 anys)",((INDEX(Dades_PA!$B$45:$Y$71,(MATCH(F13,Espècies,0)),(MATCH(J13,Dades_PA!$B$44:$Y$44,0))))*H13*(Dades_PA!$B$143/100)),IF(I13="Vida útil llarga (&gt;30 anys)",Dades_PA!$B$144,IF(I13="No s'obté producte",Dades_PA!$B$145,""))))</f>
        <v/>
      </c>
      <c r="P13" s="200" t="str">
        <f>IF(K13="Vida útil curta (&lt;2 anys)",((INDEX(Dades_PA!$B$45:$Y$71,(MATCH(F13,Espècies,0)),(MATCH(L13,Dades_PA!$B$44:$Y$44,0))))*H13*(Dades_PA!$B$142/100)),IF(K13="Vida útil mitjana (&lt;10 anys)",((INDEX(Dades_PA!$B$45:$Y$71,(MATCH(F13,Espècies,0)),(MATCH(L13,Dades_PA!$B$44:$Y$44,0))))*H13*(Dades_PA!$B$143/100)),IF(K13="Vida útil llarga (&gt;30 anys)",Dades_PA!$B$144,IF(K13="No s'obté producte",Dades_PA!$B$145,""))))</f>
        <v/>
      </c>
      <c r="Q13" s="200" t="str">
        <f>IF(M13="Vida útil curta (&lt;2 anys)",((INDEX(Dades_PA!$B$45:$Y$71,(MATCH(F13,Espècies,0)),(MATCH(N13,Dades_PA!$B$44:$Y$44,0))))*H13*(Dades_PA!$B$142/100)),IF(M13="Vida útil mitjana (&lt;10 anys)",((INDEX(Dades_PA!$B$45:$Y$71,(MATCH(F13,Espècies,0)),(MATCH(N13,Dades_PA!$B$44:$Y$44,0))))*H13*(Dades_PA!$B$143/100)),IF(M13="Vida útil llarga (&gt;30 anys)",Dades_PA!$B$144,IF(M13="No s'obté producte",Dades_PA!$B$145,""))))</f>
        <v/>
      </c>
      <c r="R13" s="130" t="str">
        <f t="shared" si="3"/>
        <v/>
      </c>
    </row>
    <row r="14" spans="1:19" ht="15.75" customHeight="1">
      <c r="E14" s="396"/>
      <c r="F14" s="195" t="str">
        <f>IF('2.1 Absorcions arbres'!E10=0,"",'2.1 Absorcions arbres'!E10)</f>
        <v/>
      </c>
      <c r="G14" s="202" t="str">
        <f t="shared" si="4"/>
        <v/>
      </c>
      <c r="H14" s="201" t="str">
        <f>IF('2.2 Emissions restes tallada'!I17="","",'2.2 Emissions restes tallada'!I17)</f>
        <v/>
      </c>
      <c r="I14" s="116"/>
      <c r="J14" s="115" t="str">
        <f t="shared" si="0"/>
        <v>Bb&lt;2iBf-</v>
      </c>
      <c r="K14" s="116"/>
      <c r="L14" s="115" t="str">
        <f t="shared" si="1"/>
        <v>Bb&gt;2-</v>
      </c>
      <c r="M14" s="116"/>
      <c r="N14" s="109" t="str">
        <f t="shared" si="2"/>
        <v>Bt-</v>
      </c>
      <c r="O14" s="200" t="str">
        <f>IF(I14="Vida útil curta (&lt;2 anys)",((INDEX(Dades_PA!$B$45:$Y$71,(MATCH(F14,Espècies,0)),(MATCH(J14,Dades_PA!$B$44:$Y$44,0))))*H14*(Dades_PA!$B$142/100)),IF(I14="Vida útil mitjana (&lt;10 anys)",((INDEX(Dades_PA!$B$45:$Y$71,(MATCH(F14,Espècies,0)),(MATCH(J14,Dades_PA!$B$44:$Y$44,0))))*H14*(Dades_PA!$B$143/100)),IF(I14="Vida útil llarga (&gt;30 anys)",Dades_PA!$B$144,IF(I14="No s'obté producte",Dades_PA!$B$145,""))))</f>
        <v/>
      </c>
      <c r="P14" s="200" t="str">
        <f>IF(K14="Vida útil curta (&lt;2 anys)",((INDEX(Dades_PA!$B$45:$Y$71,(MATCH(F14,Espècies,0)),(MATCH(L14,Dades_PA!$B$44:$Y$44,0))))*H14*(Dades_PA!$B$142/100)),IF(K14="Vida útil mitjana (&lt;10 anys)",((INDEX(Dades_PA!$B$45:$Y$71,(MATCH(F14,Espècies,0)),(MATCH(L14,Dades_PA!$B$44:$Y$44,0))))*H14*(Dades_PA!$B$143/100)),IF(K14="Vida útil llarga (&gt;30 anys)",Dades_PA!$B$144,IF(K14="No s'obté producte",Dades_PA!$B$145,""))))</f>
        <v/>
      </c>
      <c r="Q14" s="200" t="str">
        <f>IF(M14="Vida útil curta (&lt;2 anys)",((INDEX(Dades_PA!$B$45:$Y$71,(MATCH(F14,Espècies,0)),(MATCH(N14,Dades_PA!$B$44:$Y$44,0))))*H14*(Dades_PA!$B$142/100)),IF(M14="Vida útil mitjana (&lt;10 anys)",((INDEX(Dades_PA!$B$45:$Y$71,(MATCH(F14,Espècies,0)),(MATCH(N14,Dades_PA!$B$44:$Y$44,0))))*H14*(Dades_PA!$B$143/100)),IF(M14="Vida útil llarga (&gt;30 anys)",Dades_PA!$B$144,IF(M14="No s'obté producte",Dades_PA!$B$145,""))))</f>
        <v/>
      </c>
      <c r="R14" s="130" t="str">
        <f t="shared" si="3"/>
        <v/>
      </c>
    </row>
    <row r="15" spans="1:19" ht="15.75" customHeight="1">
      <c r="E15" s="396"/>
      <c r="F15" s="195" t="str">
        <f>IF('2.1 Absorcions arbres'!E11=0,"",'2.1 Absorcions arbres'!E11)</f>
        <v/>
      </c>
      <c r="G15" s="202" t="str">
        <f t="shared" si="4"/>
        <v/>
      </c>
      <c r="H15" s="201" t="str">
        <f>IF('2.2 Emissions restes tallada'!I18="","",'2.2 Emissions restes tallada'!I18)</f>
        <v/>
      </c>
      <c r="I15" s="116"/>
      <c r="J15" s="115" t="str">
        <f t="shared" si="0"/>
        <v>Bb&lt;2iBf-</v>
      </c>
      <c r="K15" s="116"/>
      <c r="L15" s="115" t="str">
        <f t="shared" si="1"/>
        <v>Bb&gt;2-</v>
      </c>
      <c r="M15" s="116"/>
      <c r="N15" s="109" t="str">
        <f t="shared" si="2"/>
        <v>Bt-</v>
      </c>
      <c r="O15" s="200" t="str">
        <f>IF(I15="Vida útil curta (&lt;2 anys)",((INDEX(Dades_PA!$B$45:$Y$71,(MATCH(F15,Espècies,0)),(MATCH(J15,Dades_PA!$B$44:$Y$44,0))))*H15*(Dades_PA!$B$142/100)),IF(I15="Vida útil mitjana (&lt;10 anys)",((INDEX(Dades_PA!$B$45:$Y$71,(MATCH(F15,Espècies,0)),(MATCH(J15,Dades_PA!$B$44:$Y$44,0))))*H15*(Dades_PA!$B$143/100)),IF(I15="Vida útil llarga (&gt;30 anys)",Dades_PA!$B$144,IF(I15="No s'obté producte",Dades_PA!$B$145,""))))</f>
        <v/>
      </c>
      <c r="P15" s="200" t="str">
        <f>IF(K15="Vida útil curta (&lt;2 anys)",((INDEX(Dades_PA!$B$45:$Y$71,(MATCH(F15,Espècies,0)),(MATCH(L15,Dades_PA!$B$44:$Y$44,0))))*H15*(Dades_PA!$B$142/100)),IF(K15="Vida útil mitjana (&lt;10 anys)",((INDEX(Dades_PA!$B$45:$Y$71,(MATCH(F15,Espècies,0)),(MATCH(L15,Dades_PA!$B$44:$Y$44,0))))*H15*(Dades_PA!$B$143/100)),IF(K15="Vida útil llarga (&gt;30 anys)",Dades_PA!$B$144,IF(K15="No s'obté producte",Dades_PA!$B$145,""))))</f>
        <v/>
      </c>
      <c r="Q15" s="200" t="str">
        <f>IF(M15="Vida útil curta (&lt;2 anys)",((INDEX(Dades_PA!$B$45:$Y$71,(MATCH(F15,Espècies,0)),(MATCH(N15,Dades_PA!$B$44:$Y$44,0))))*H15*(Dades_PA!$B$142/100)),IF(M15="Vida útil mitjana (&lt;10 anys)",((INDEX(Dades_PA!$B$45:$Y$71,(MATCH(F15,Espècies,0)),(MATCH(N15,Dades_PA!$B$44:$Y$44,0))))*H15*(Dades_PA!$B$143/100)),IF(M15="Vida útil llarga (&gt;30 anys)",Dades_PA!$B$144,IF(M15="No s'obté producte",Dades_PA!$B$145,""))))</f>
        <v/>
      </c>
      <c r="R15" s="130" t="str">
        <f t="shared" si="3"/>
        <v/>
      </c>
    </row>
    <row r="16" spans="1:19" ht="15.75" customHeight="1">
      <c r="E16" s="396"/>
      <c r="F16" s="195" t="str">
        <f>IF('2.1 Absorcions arbres'!E12=0,"",'2.1 Absorcions arbres'!E12)</f>
        <v/>
      </c>
      <c r="G16" s="202" t="str">
        <f t="shared" si="4"/>
        <v/>
      </c>
      <c r="H16" s="201" t="str">
        <f>IF('2.2 Emissions restes tallada'!I19="","",'2.2 Emissions restes tallada'!I19)</f>
        <v/>
      </c>
      <c r="I16" s="116"/>
      <c r="J16" s="115" t="str">
        <f t="shared" si="0"/>
        <v>Bb&lt;2iBf-</v>
      </c>
      <c r="K16" s="116"/>
      <c r="L16" s="115" t="str">
        <f t="shared" si="1"/>
        <v>Bb&gt;2-</v>
      </c>
      <c r="M16" s="116"/>
      <c r="N16" s="109" t="str">
        <f t="shared" si="2"/>
        <v>Bt-</v>
      </c>
      <c r="O16" s="200" t="str">
        <f>IF(I16="Vida útil curta (&lt;2 anys)",((INDEX(Dades_PA!$B$45:$Y$71,(MATCH(F16,Espècies,0)),(MATCH(J16,Dades_PA!$B$44:$Y$44,0))))*H16*(Dades_PA!$B$142/100)),IF(I16="Vida útil mitjana (&lt;10 anys)",((INDEX(Dades_PA!$B$45:$Y$71,(MATCH(F16,Espècies,0)),(MATCH(J16,Dades_PA!$B$44:$Y$44,0))))*H16*(Dades_PA!$B$143/100)),IF(I16="Vida útil llarga (&gt;30 anys)",Dades_PA!$B$144,IF(I16="No s'obté producte",Dades_PA!$B$145,""))))</f>
        <v/>
      </c>
      <c r="P16" s="200" t="str">
        <f>IF(K16="Vida útil curta (&lt;2 anys)",((INDEX(Dades_PA!$B$45:$Y$71,(MATCH(F16,Espècies,0)),(MATCH(L16,Dades_PA!$B$44:$Y$44,0))))*H16*(Dades_PA!$B$142/100)),IF(K16="Vida útil mitjana (&lt;10 anys)",((INDEX(Dades_PA!$B$45:$Y$71,(MATCH(F16,Espècies,0)),(MATCH(L16,Dades_PA!$B$44:$Y$44,0))))*H16*(Dades_PA!$B$143/100)),IF(K16="Vida útil llarga (&gt;30 anys)",Dades_PA!$B$144,IF(K16="No s'obté producte",Dades_PA!$B$145,""))))</f>
        <v/>
      </c>
      <c r="Q16" s="200" t="str">
        <f>IF(M16="Vida útil curta (&lt;2 anys)",((INDEX(Dades_PA!$B$45:$Y$71,(MATCH(F16,Espècies,0)),(MATCH(N16,Dades_PA!$B$44:$Y$44,0))))*H16*(Dades_PA!$B$142/100)),IF(M16="Vida útil mitjana (&lt;10 anys)",((INDEX(Dades_PA!$B$45:$Y$71,(MATCH(F16,Espècies,0)),(MATCH(N16,Dades_PA!$B$44:$Y$44,0))))*H16*(Dades_PA!$B$143/100)),IF(M16="Vida útil llarga (&gt;30 anys)",Dades_PA!$B$144,IF(M16="No s'obté producte",Dades_PA!$B$145,""))))</f>
        <v/>
      </c>
      <c r="R16" s="130" t="str">
        <f t="shared" si="3"/>
        <v/>
      </c>
    </row>
    <row r="17" spans="5:18" ht="15.75" customHeight="1">
      <c r="E17" s="396"/>
      <c r="F17" s="195" t="str">
        <f>IF('2.1 Absorcions arbres'!E13=0,"",'2.1 Absorcions arbres'!E13)</f>
        <v/>
      </c>
      <c r="G17" s="202" t="str">
        <f t="shared" si="4"/>
        <v/>
      </c>
      <c r="H17" s="201" t="str">
        <f>IF('2.2 Emissions restes tallada'!I20="","",'2.2 Emissions restes tallada'!I20)</f>
        <v/>
      </c>
      <c r="I17" s="116"/>
      <c r="J17" s="115" t="str">
        <f t="shared" si="0"/>
        <v>Bb&lt;2iBf-</v>
      </c>
      <c r="K17" s="116"/>
      <c r="L17" s="115" t="str">
        <f t="shared" si="1"/>
        <v>Bb&gt;2-</v>
      </c>
      <c r="M17" s="116"/>
      <c r="N17" s="109" t="str">
        <f t="shared" si="2"/>
        <v>Bt-</v>
      </c>
      <c r="O17" s="200" t="str">
        <f>IF(I17="Vida útil curta (&lt;2 anys)",((INDEX(Dades_PA!$B$45:$Y$71,(MATCH(F17,Espècies,0)),(MATCH(J17,Dades_PA!$B$44:$Y$44,0))))*H17*(Dades_PA!$B$142/100)),IF(I17="Vida útil mitjana (&lt;10 anys)",((INDEX(Dades_PA!$B$45:$Y$71,(MATCH(F17,Espècies,0)),(MATCH(J17,Dades_PA!$B$44:$Y$44,0))))*H17*(Dades_PA!$B$143/100)),IF(I17="Vida útil llarga (&gt;30 anys)",Dades_PA!$B$144,IF(I17="No s'obté producte",Dades_PA!$B$145,""))))</f>
        <v/>
      </c>
      <c r="P17" s="200" t="str">
        <f>IF(K17="Vida útil curta (&lt;2 anys)",((INDEX(Dades_PA!$B$45:$Y$71,(MATCH(F17,Espècies,0)),(MATCH(L17,Dades_PA!$B$44:$Y$44,0))))*H17*(Dades_PA!$B$142/100)),IF(K17="Vida útil mitjana (&lt;10 anys)",((INDEX(Dades_PA!$B$45:$Y$71,(MATCH(F17,Espècies,0)),(MATCH(L17,Dades_PA!$B$44:$Y$44,0))))*H17*(Dades_PA!$B$143/100)),IF(K17="Vida útil llarga (&gt;30 anys)",Dades_PA!$B$144,IF(K17="No s'obté producte",Dades_PA!$B$145,""))))</f>
        <v/>
      </c>
      <c r="Q17" s="200" t="str">
        <f>IF(M17="Vida útil curta (&lt;2 anys)",((INDEX(Dades_PA!$B$45:$Y$71,(MATCH(F17,Espècies,0)),(MATCH(N17,Dades_PA!$B$44:$Y$44,0))))*H17*(Dades_PA!$B$142/100)),IF(M17="Vida útil mitjana (&lt;10 anys)",((INDEX(Dades_PA!$B$45:$Y$71,(MATCH(F17,Espècies,0)),(MATCH(N17,Dades_PA!$B$44:$Y$44,0))))*H17*(Dades_PA!$B$143/100)),IF(M17="Vida útil llarga (&gt;30 anys)",Dades_PA!$B$144,IF(M17="No s'obté producte",Dades_PA!$B$145,""))))</f>
        <v/>
      </c>
      <c r="R17" s="130" t="str">
        <f t="shared" si="3"/>
        <v/>
      </c>
    </row>
    <row r="18" spans="5:18" ht="15.75" customHeight="1">
      <c r="E18" s="396"/>
      <c r="F18" s="195" t="str">
        <f>IF('2.1 Absorcions arbres'!E14=0,"",'2.1 Absorcions arbres'!E14)</f>
        <v/>
      </c>
      <c r="G18" s="202" t="str">
        <f t="shared" si="4"/>
        <v/>
      </c>
      <c r="H18" s="201" t="str">
        <f>IF('2.2 Emissions restes tallada'!I21="","",'2.2 Emissions restes tallada'!I21)</f>
        <v/>
      </c>
      <c r="I18" s="116"/>
      <c r="J18" s="115" t="str">
        <f t="shared" si="0"/>
        <v>Bb&lt;2iBf-</v>
      </c>
      <c r="K18" s="116"/>
      <c r="L18" s="115" t="str">
        <f t="shared" si="1"/>
        <v>Bb&gt;2-</v>
      </c>
      <c r="M18" s="116"/>
      <c r="N18" s="109" t="str">
        <f t="shared" si="2"/>
        <v>Bt-</v>
      </c>
      <c r="O18" s="200" t="str">
        <f>IF(I18="Vida útil curta (&lt;2 anys)",((INDEX(Dades_PA!$B$45:$Y$71,(MATCH(F18,Espècies,0)),(MATCH(J18,Dades_PA!$B$44:$Y$44,0))))*H18*(Dades_PA!$B$142/100)),IF(I18="Vida útil mitjana (&lt;10 anys)",((INDEX(Dades_PA!$B$45:$Y$71,(MATCH(F18,Espècies,0)),(MATCH(J18,Dades_PA!$B$44:$Y$44,0))))*H18*(Dades_PA!$B$143/100)),IF(I18="Vida útil llarga (&gt;30 anys)",Dades_PA!$B$144,IF(I18="No s'obté producte",Dades_PA!$B$145,""))))</f>
        <v/>
      </c>
      <c r="P18" s="200" t="str">
        <f>IF(K18="Vida útil curta (&lt;2 anys)",((INDEX(Dades_PA!$B$45:$Y$71,(MATCH(F18,Espècies,0)),(MATCH(L18,Dades_PA!$B$44:$Y$44,0))))*H18*(Dades_PA!$B$142/100)),IF(K18="Vida útil mitjana (&lt;10 anys)",((INDEX(Dades_PA!$B$45:$Y$71,(MATCH(F18,Espècies,0)),(MATCH(L18,Dades_PA!$B$44:$Y$44,0))))*H18*(Dades_PA!$B$143/100)),IF(K18="Vida útil llarga (&gt;30 anys)",Dades_PA!$B$144,IF(K18="No s'obté producte",Dades_PA!$B$145,""))))</f>
        <v/>
      </c>
      <c r="Q18" s="200" t="str">
        <f>IF(M18="Vida útil curta (&lt;2 anys)",((INDEX(Dades_PA!$B$45:$Y$71,(MATCH(F18,Espècies,0)),(MATCH(N18,Dades_PA!$B$44:$Y$44,0))))*H18*(Dades_PA!$B$142/100)),IF(M18="Vida útil mitjana (&lt;10 anys)",((INDEX(Dades_PA!$B$45:$Y$71,(MATCH(F18,Espècies,0)),(MATCH(N18,Dades_PA!$B$44:$Y$44,0))))*H18*(Dades_PA!$B$143/100)),IF(M18="Vida útil llarga (&gt;30 anys)",Dades_PA!$B$144,IF(M18="No s'obté producte",Dades_PA!$B$145,""))))</f>
        <v/>
      </c>
      <c r="R18" s="130" t="str">
        <f t="shared" si="3"/>
        <v/>
      </c>
    </row>
    <row r="19" spans="5:18" ht="15.75" customHeight="1">
      <c r="E19" s="396"/>
      <c r="F19" s="195" t="str">
        <f>IF('2.1 Absorcions arbres'!E15=0,"",'2.1 Absorcions arbres'!E15)</f>
        <v/>
      </c>
      <c r="G19" s="202" t="str">
        <f t="shared" si="4"/>
        <v/>
      </c>
      <c r="H19" s="201" t="str">
        <f>IF('2.2 Emissions restes tallada'!I22="","",'2.2 Emissions restes tallada'!I22)</f>
        <v/>
      </c>
      <c r="I19" s="116"/>
      <c r="J19" s="115" t="str">
        <f t="shared" si="0"/>
        <v>Bb&lt;2iBf-</v>
      </c>
      <c r="K19" s="116"/>
      <c r="L19" s="115" t="str">
        <f t="shared" si="1"/>
        <v>Bb&gt;2-</v>
      </c>
      <c r="M19" s="116"/>
      <c r="N19" s="109" t="str">
        <f t="shared" si="2"/>
        <v>Bt-</v>
      </c>
      <c r="O19" s="200" t="str">
        <f>IF(I19="Vida útil curta (&lt;2 anys)",((INDEX(Dades_PA!$B$45:$Y$71,(MATCH(F19,Espècies,0)),(MATCH(J19,Dades_PA!$B$44:$Y$44,0))))*H19*(Dades_PA!$B$142/100)),IF(I19="Vida útil mitjana (&lt;10 anys)",((INDEX(Dades_PA!$B$45:$Y$71,(MATCH(F19,Espècies,0)),(MATCH(J19,Dades_PA!$B$44:$Y$44,0))))*H19*(Dades_PA!$B$143/100)),IF(I19="Vida útil llarga (&gt;30 anys)",Dades_PA!$B$144,IF(I19="No s'obté producte",Dades_PA!$B$145,""))))</f>
        <v/>
      </c>
      <c r="P19" s="200" t="str">
        <f>IF(K19="Vida útil curta (&lt;2 anys)",((INDEX(Dades_PA!$B$45:$Y$71,(MATCH(F19,Espècies,0)),(MATCH(L19,Dades_PA!$B$44:$Y$44,0))))*H19*(Dades_PA!$B$142/100)),IF(K19="Vida útil mitjana (&lt;10 anys)",((INDEX(Dades_PA!$B$45:$Y$71,(MATCH(F19,Espècies,0)),(MATCH(L19,Dades_PA!$B$44:$Y$44,0))))*H19*(Dades_PA!$B$143/100)),IF(K19="Vida útil llarga (&gt;30 anys)",Dades_PA!$B$144,IF(K19="No s'obté producte",Dades_PA!$B$145,""))))</f>
        <v/>
      </c>
      <c r="Q19" s="200" t="str">
        <f>IF(M19="Vida útil curta (&lt;2 anys)",((INDEX(Dades_PA!$B$45:$Y$71,(MATCH(F19,Espècies,0)),(MATCH(N19,Dades_PA!$B$44:$Y$44,0))))*H19*(Dades_PA!$B$142/100)),IF(M19="Vida útil mitjana (&lt;10 anys)",((INDEX(Dades_PA!$B$45:$Y$71,(MATCH(F19,Espècies,0)),(MATCH(N19,Dades_PA!$B$44:$Y$44,0))))*H19*(Dades_PA!$B$143/100)),IF(M19="Vida útil llarga (&gt;30 anys)",Dades_PA!$B$144,IF(M19="No s'obté producte",Dades_PA!$B$145,""))))</f>
        <v/>
      </c>
      <c r="R19" s="130" t="str">
        <f t="shared" si="3"/>
        <v/>
      </c>
    </row>
    <row r="20" spans="5:18" ht="15.75" customHeight="1" thickBot="1">
      <c r="E20" s="397"/>
      <c r="F20" s="196" t="str">
        <f>IF('2.1 Absorcions arbres'!E16=0,"",'2.1 Absorcions arbres'!E16)</f>
        <v/>
      </c>
      <c r="G20" s="212" t="str">
        <f t="shared" si="4"/>
        <v/>
      </c>
      <c r="H20" s="213" t="str">
        <f>IF('2.2 Emissions restes tallada'!I23="","",'2.2 Emissions restes tallada'!I23)</f>
        <v/>
      </c>
      <c r="I20" s="118"/>
      <c r="J20" s="117" t="str">
        <f t="shared" si="0"/>
        <v>Bb&lt;2iBf-</v>
      </c>
      <c r="K20" s="118"/>
      <c r="L20" s="117" t="str">
        <f t="shared" si="1"/>
        <v>Bb&gt;2-</v>
      </c>
      <c r="M20" s="118"/>
      <c r="N20" s="113" t="str">
        <f t="shared" si="2"/>
        <v>Bt-</v>
      </c>
      <c r="O20" s="214" t="str">
        <f>IF(I20="Vida útil curta (&lt;2 anys)",((INDEX(Dades_PA!$B$45:$Y$71,(MATCH(F20,Espècies,0)),(MATCH(J20,Dades_PA!$B$44:$Y$44,0))))*H20*(Dades_PA!$B$142/100)),IF(I20="Vida útil mitjana (&lt;10 anys)",((INDEX(Dades_PA!$B$45:$Y$71,(MATCH(F20,Espècies,0)),(MATCH(J20,Dades_PA!$B$44:$Y$44,0))))*H20*(Dades_PA!$B$143/100)),IF(I20="Vida útil llarga (&gt;30 anys)",Dades_PA!$B$144,IF(I20="No s'obté producte",Dades_PA!$B$145,""))))</f>
        <v/>
      </c>
      <c r="P20" s="214" t="str">
        <f>IF(K20="Vida útil curta (&lt;2 anys)",((INDEX(Dades_PA!$B$45:$Y$71,(MATCH(F20,Espècies,0)),(MATCH(L20,Dades_PA!$B$44:$Y$44,0))))*H20*(Dades_PA!$B$142/100)),IF(K20="Vida útil mitjana (&lt;10 anys)",((INDEX(Dades_PA!$B$45:$Y$71,(MATCH(F20,Espècies,0)),(MATCH(L20,Dades_PA!$B$44:$Y$44,0))))*H20*(Dades_PA!$B$143/100)),IF(K20="Vida útil llarga (&gt;30 anys)",Dades_PA!$B$144,IF(K20="No s'obté producte",Dades_PA!$B$145,""))))</f>
        <v/>
      </c>
      <c r="Q20" s="214" t="str">
        <f>IF(M20="Vida útil curta (&lt;2 anys)",((INDEX(Dades_PA!$B$45:$Y$71,(MATCH(F20,Espècies,0)),(MATCH(N20,Dades_PA!$B$44:$Y$44,0))))*H20*(Dades_PA!$B$142/100)),IF(M20="Vida útil mitjana (&lt;10 anys)",((INDEX(Dades_PA!$B$45:$Y$71,(MATCH(F20,Espècies,0)),(MATCH(N20,Dades_PA!$B$44:$Y$44,0))))*H20*(Dades_PA!$B$143/100)),IF(M20="Vida útil llarga (&gt;30 anys)",Dades_PA!$B$144,IF(M20="No s'obté producte",Dades_PA!$B$145,""))))</f>
        <v/>
      </c>
      <c r="R20" s="131" t="str">
        <f t="shared" si="3"/>
        <v/>
      </c>
    </row>
    <row r="21" spans="5:18" ht="15.75" customHeight="1">
      <c r="E21" s="338" t="str">
        <f>IF(('1. Dades generals del projecte'!D31)="","",('1. Dades generals del projecte'!D31))</f>
        <v/>
      </c>
      <c r="F21" s="194" t="str">
        <f>IF('2.1 Absorcions arbres'!E17=0,"",'2.1 Absorcions arbres'!E17)</f>
        <v/>
      </c>
      <c r="G21" s="209" t="str">
        <f>IF(('2.1 Absorcions arbres'!H17&gt;0),('2.1 Absorcions arbres'!H17),"")</f>
        <v/>
      </c>
      <c r="H21" s="210" t="str">
        <f>IF('2.2 Emissions restes tallada'!I24="","",'2.2 Emissions restes tallada'!I24)</f>
        <v/>
      </c>
      <c r="I21" s="101"/>
      <c r="J21" s="114" t="str">
        <f t="shared" si="0"/>
        <v>Bb&lt;2iBf-</v>
      </c>
      <c r="K21" s="101"/>
      <c r="L21" s="114" t="str">
        <f t="shared" si="1"/>
        <v>Bb&gt;2-</v>
      </c>
      <c r="M21" s="101"/>
      <c r="N21" s="105" t="str">
        <f t="shared" si="2"/>
        <v>Bt-</v>
      </c>
      <c r="O21" s="194" t="str">
        <f>IF(I21="Vida útil curta (&lt;2 anys)",((INDEX(Dades_PA!$B$45:$Y$71,(MATCH(F21,Espècies,0)),(MATCH(J21,Dades_PA!$B$44:$Y$44,0))))*H21*(Dades_PA!$B$142/100)),IF(I21="Vida útil mitjana (&lt;10 anys)",((INDEX(Dades_PA!$B$45:$Y$71,(MATCH(F21,Espècies,0)),(MATCH(J21,Dades_PA!$B$44:$Y$44,0))))*H21*(Dades_PA!$B$143/100)),IF(I21="Vida útil llarga (&gt;30 anys)",Dades_PA!$B$144,IF(I21="No s'obté producte",Dades_PA!$B$145,""))))</f>
        <v/>
      </c>
      <c r="P21" s="194" t="str">
        <f>IF(K21="Vida útil curta (&lt;2 anys)",((INDEX(Dades_PA!$B$45:$Y$71,(MATCH(F21,Espècies,0)),(MATCH(L21,Dades_PA!$B$44:$Y$44,0))))*H21*(Dades_PA!$B$142/100)),IF(K21="Vida útil mitjana (&lt;10 anys)",((INDEX(Dades_PA!$B$45:$Y$71,(MATCH(F21,Espècies,0)),(MATCH(L21,Dades_PA!$B$44:$Y$44,0))))*H21*(Dades_PA!$B$143/100)),IF(K21="Vida útil llarga (&gt;30 anys)",Dades_PA!$B$144,IF(K21="No s'obté producte",Dades_PA!$B$145,""))))</f>
        <v/>
      </c>
      <c r="Q21" s="194" t="str">
        <f>IF(M21="Vida útil curta (&lt;2 anys)",((INDEX(Dades_PA!$B$45:$Y$71,(MATCH(F21,Espècies,0)),(MATCH(N21,Dades_PA!$B$44:$Y$44,0))))*H21*(Dades_PA!$B$142/100)),IF(M21="Vida útil mitjana (&lt;10 anys)",((INDEX(Dades_PA!$B$45:$Y$71,(MATCH(F21,Espècies,0)),(MATCH(N21,Dades_PA!$B$44:$Y$44,0))))*H21*(Dades_PA!$B$143/100)),IF(M21="Vida útil llarga (&gt;30 anys)",Dades_PA!$B$144,IF(M21="No s'obté producte",Dades_PA!$B$145,""))))</f>
        <v/>
      </c>
      <c r="R21" s="129" t="str">
        <f t="shared" si="3"/>
        <v/>
      </c>
    </row>
    <row r="22" spans="5:18" ht="15.75" customHeight="1">
      <c r="E22" s="339"/>
      <c r="F22" s="195" t="str">
        <f>IF('2.1 Absorcions arbres'!E18=0,"",'2.1 Absorcions arbres'!E18)</f>
        <v/>
      </c>
      <c r="G22" s="202" t="str">
        <f>$G$21</f>
        <v/>
      </c>
      <c r="H22" s="201" t="str">
        <f>IF('2.2 Emissions restes tallada'!I25="","",'2.2 Emissions restes tallada'!I25)</f>
        <v/>
      </c>
      <c r="I22" s="116"/>
      <c r="J22" s="115" t="str">
        <f t="shared" si="0"/>
        <v>Bb&lt;2iBf-</v>
      </c>
      <c r="K22" s="116"/>
      <c r="L22" s="115" t="str">
        <f t="shared" si="1"/>
        <v>Bb&gt;2-</v>
      </c>
      <c r="M22" s="116"/>
      <c r="N22" s="109" t="str">
        <f t="shared" si="2"/>
        <v>Bt-</v>
      </c>
      <c r="O22" s="200" t="str">
        <f>IF(I22="Vida útil curta (&lt;2 anys)",((INDEX(Dades_PA!$B$45:$Y$71,(MATCH(F22,Espècies,0)),(MATCH(J22,Dades_PA!$B$44:$Y$44,0))))*H22*(Dades_PA!$B$142/100)),IF(I22="Vida útil mitjana (&lt;10 anys)",((INDEX(Dades_PA!$B$45:$Y$71,(MATCH(F22,Espècies,0)),(MATCH(J22,Dades_PA!$B$44:$Y$44,0))))*H22*(Dades_PA!$B$143/100)),IF(I22="Vida útil llarga (&gt;30 anys)",Dades_PA!$B$144,IF(I22="No s'obté producte",Dades_PA!$B$145,""))))</f>
        <v/>
      </c>
      <c r="P22" s="200" t="str">
        <f>IF(K22="Vida útil curta (&lt;2 anys)",((INDEX(Dades_PA!$B$45:$Y$71,(MATCH(F22,Espècies,0)),(MATCH(L22,Dades_PA!$B$44:$Y$44,0))))*H22*(Dades_PA!$B$142/100)),IF(K22="Vida útil mitjana (&lt;10 anys)",((INDEX(Dades_PA!$B$45:$Y$71,(MATCH(F22,Espècies,0)),(MATCH(L22,Dades_PA!$B$44:$Y$44,0))))*H22*(Dades_PA!$B$143/100)),IF(K22="Vida útil llarga (&gt;30 anys)",Dades_PA!$B$144,IF(K22="No s'obté producte",Dades_PA!$B$145,""))))</f>
        <v/>
      </c>
      <c r="Q22" s="200" t="str">
        <f>IF(M22="Vida útil curta (&lt;2 anys)",((INDEX(Dades_PA!$B$45:$Y$71,(MATCH(F22,Espècies,0)),(MATCH(N22,Dades_PA!$B$44:$Y$44,0))))*H22*(Dades_PA!$B$142/100)),IF(M22="Vida útil mitjana (&lt;10 anys)",((INDEX(Dades_PA!$B$45:$Y$71,(MATCH(F22,Espècies,0)),(MATCH(N22,Dades_PA!$B$44:$Y$44,0))))*H22*(Dades_PA!$B$143/100)),IF(M22="Vida útil llarga (&gt;30 anys)",Dades_PA!$B$144,IF(M22="No s'obté producte",Dades_PA!$B$145,""))))</f>
        <v/>
      </c>
      <c r="R22" s="130" t="str">
        <f t="shared" si="3"/>
        <v/>
      </c>
    </row>
    <row r="23" spans="5:18" ht="15.75" customHeight="1">
      <c r="E23" s="339"/>
      <c r="F23" s="195" t="str">
        <f>IF('2.1 Absorcions arbres'!E19=0,"",'2.1 Absorcions arbres'!E19)</f>
        <v/>
      </c>
      <c r="G23" s="202" t="str">
        <f t="shared" ref="G23:G30" si="5">$G$21</f>
        <v/>
      </c>
      <c r="H23" s="201" t="str">
        <f>IF('2.2 Emissions restes tallada'!I26="","",'2.2 Emissions restes tallada'!I26)</f>
        <v/>
      </c>
      <c r="I23" s="116"/>
      <c r="J23" s="115" t="str">
        <f t="shared" si="0"/>
        <v>Bb&lt;2iBf-</v>
      </c>
      <c r="K23" s="116"/>
      <c r="L23" s="115" t="str">
        <f t="shared" si="1"/>
        <v>Bb&gt;2-</v>
      </c>
      <c r="M23" s="116"/>
      <c r="N23" s="109" t="str">
        <f t="shared" si="2"/>
        <v>Bt-</v>
      </c>
      <c r="O23" s="200" t="str">
        <f>IF(I23="Vida útil curta (&lt;2 anys)",((INDEX(Dades_PA!$B$45:$Y$71,(MATCH(F23,Espècies,0)),(MATCH(J23,Dades_PA!$B$44:$Y$44,0))))*H23*(Dades_PA!$B$142/100)),IF(I23="Vida útil mitjana (&lt;10 anys)",((INDEX(Dades_PA!$B$45:$Y$71,(MATCH(F23,Espècies,0)),(MATCH(J23,Dades_PA!$B$44:$Y$44,0))))*H23*(Dades_PA!$B$143/100)),IF(I23="Vida útil llarga (&gt;30 anys)",Dades_PA!$B$144,IF(I23="No s'obté producte",Dades_PA!$B$145,""))))</f>
        <v/>
      </c>
      <c r="P23" s="200" t="str">
        <f>IF(K23="Vida útil curta (&lt;2 anys)",((INDEX(Dades_PA!$B$45:$Y$71,(MATCH(F23,Espècies,0)),(MATCH(L23,Dades_PA!$B$44:$Y$44,0))))*H23*(Dades_PA!$B$142/100)),IF(K23="Vida útil mitjana (&lt;10 anys)",((INDEX(Dades_PA!$B$45:$Y$71,(MATCH(F23,Espècies,0)),(MATCH(L23,Dades_PA!$B$44:$Y$44,0))))*H23*(Dades_PA!$B$143/100)),IF(K23="Vida útil llarga (&gt;30 anys)",Dades_PA!$B$144,IF(K23="No s'obté producte",Dades_PA!$B$145,""))))</f>
        <v/>
      </c>
      <c r="Q23" s="200" t="str">
        <f>IF(M23="Vida útil curta (&lt;2 anys)",((INDEX(Dades_PA!$B$45:$Y$71,(MATCH(F23,Espècies,0)),(MATCH(N23,Dades_PA!$B$44:$Y$44,0))))*H23*(Dades_PA!$B$142/100)),IF(M23="Vida útil mitjana (&lt;10 anys)",((INDEX(Dades_PA!$B$45:$Y$71,(MATCH(F23,Espècies,0)),(MATCH(N23,Dades_PA!$B$44:$Y$44,0))))*H23*(Dades_PA!$B$143/100)),IF(M23="Vida útil llarga (&gt;30 anys)",Dades_PA!$B$144,IF(M23="No s'obté producte",Dades_PA!$B$145,""))))</f>
        <v/>
      </c>
      <c r="R23" s="130" t="str">
        <f t="shared" si="3"/>
        <v/>
      </c>
    </row>
    <row r="24" spans="5:18" ht="15.75" customHeight="1">
      <c r="E24" s="339"/>
      <c r="F24" s="195" t="str">
        <f>IF('2.1 Absorcions arbres'!E20=0,"",'2.1 Absorcions arbres'!E20)</f>
        <v/>
      </c>
      <c r="G24" s="202" t="str">
        <f t="shared" si="5"/>
        <v/>
      </c>
      <c r="H24" s="201" t="str">
        <f>IF('2.2 Emissions restes tallada'!I27="","",'2.2 Emissions restes tallada'!I27)</f>
        <v/>
      </c>
      <c r="I24" s="116"/>
      <c r="J24" s="115" t="str">
        <f t="shared" si="0"/>
        <v>Bb&lt;2iBf-</v>
      </c>
      <c r="K24" s="116"/>
      <c r="L24" s="115" t="str">
        <f t="shared" si="1"/>
        <v>Bb&gt;2-</v>
      </c>
      <c r="M24" s="116"/>
      <c r="N24" s="109" t="str">
        <f t="shared" si="2"/>
        <v>Bt-</v>
      </c>
      <c r="O24" s="200" t="str">
        <f>IF(I24="Vida útil curta (&lt;2 anys)",((INDEX(Dades_PA!$B$45:$Y$71,(MATCH(F24,Espècies,0)),(MATCH(J24,Dades_PA!$B$44:$Y$44,0))))*H24*(Dades_PA!$B$142/100)),IF(I24="Vida útil mitjana (&lt;10 anys)",((INDEX(Dades_PA!$B$45:$Y$71,(MATCH(F24,Espècies,0)),(MATCH(J24,Dades_PA!$B$44:$Y$44,0))))*H24*(Dades_PA!$B$143/100)),IF(I24="Vida útil llarga (&gt;30 anys)",Dades_PA!$B$144,IF(I24="No s'obté producte",Dades_PA!$B$145,""))))</f>
        <v/>
      </c>
      <c r="P24" s="200" t="str">
        <f>IF(K24="Vida útil curta (&lt;2 anys)",((INDEX(Dades_PA!$B$45:$Y$71,(MATCH(F24,Espècies,0)),(MATCH(L24,Dades_PA!$B$44:$Y$44,0))))*H24*(Dades_PA!$B$142/100)),IF(K24="Vida útil mitjana (&lt;10 anys)",((INDEX(Dades_PA!$B$45:$Y$71,(MATCH(F24,Espècies,0)),(MATCH(L24,Dades_PA!$B$44:$Y$44,0))))*H24*(Dades_PA!$B$143/100)),IF(K24="Vida útil llarga (&gt;30 anys)",Dades_PA!$B$144,IF(K24="No s'obté producte",Dades_PA!$B$145,""))))</f>
        <v/>
      </c>
      <c r="Q24" s="200" t="str">
        <f>IF(M24="Vida útil curta (&lt;2 anys)",((INDEX(Dades_PA!$B$45:$Y$71,(MATCH(F24,Espècies,0)),(MATCH(N24,Dades_PA!$B$44:$Y$44,0))))*H24*(Dades_PA!$B$142/100)),IF(M24="Vida útil mitjana (&lt;10 anys)",((INDEX(Dades_PA!$B$45:$Y$71,(MATCH(F24,Espècies,0)),(MATCH(N24,Dades_PA!$B$44:$Y$44,0))))*H24*(Dades_PA!$B$143/100)),IF(M24="Vida útil llarga (&gt;30 anys)",Dades_PA!$B$144,IF(M24="No s'obté producte",Dades_PA!$B$145,""))))</f>
        <v/>
      </c>
      <c r="R24" s="130" t="str">
        <f t="shared" si="3"/>
        <v/>
      </c>
    </row>
    <row r="25" spans="5:18" ht="15.75" customHeight="1">
      <c r="E25" s="339"/>
      <c r="F25" s="195" t="str">
        <f>IF('2.1 Absorcions arbres'!E21=0,"",'2.1 Absorcions arbres'!E21)</f>
        <v/>
      </c>
      <c r="G25" s="202" t="str">
        <f t="shared" si="5"/>
        <v/>
      </c>
      <c r="H25" s="201" t="str">
        <f>IF('2.2 Emissions restes tallada'!I28="","",'2.2 Emissions restes tallada'!I28)</f>
        <v/>
      </c>
      <c r="I25" s="116"/>
      <c r="J25" s="115" t="str">
        <f t="shared" si="0"/>
        <v>Bb&lt;2iBf-</v>
      </c>
      <c r="K25" s="116"/>
      <c r="L25" s="115" t="str">
        <f t="shared" si="1"/>
        <v>Bb&gt;2-</v>
      </c>
      <c r="M25" s="116"/>
      <c r="N25" s="109" t="str">
        <f t="shared" si="2"/>
        <v>Bt-</v>
      </c>
      <c r="O25" s="200" t="str">
        <f>IF(I25="Vida útil curta (&lt;2 anys)",((INDEX(Dades_PA!$B$45:$Y$71,(MATCH(F25,Espècies,0)),(MATCH(J25,Dades_PA!$B$44:$Y$44,0))))*H25*(Dades_PA!$B$142/100)),IF(I25="Vida útil mitjana (&lt;10 anys)",((INDEX(Dades_PA!$B$45:$Y$71,(MATCH(F25,Espècies,0)),(MATCH(J25,Dades_PA!$B$44:$Y$44,0))))*H25*(Dades_PA!$B$143/100)),IF(I25="Vida útil llarga (&gt;30 anys)",Dades_PA!$B$144,IF(I25="No s'obté producte",Dades_PA!$B$145,""))))</f>
        <v/>
      </c>
      <c r="P25" s="200" t="str">
        <f>IF(K25="Vida útil curta (&lt;2 anys)",((INDEX(Dades_PA!$B$45:$Y$71,(MATCH(F25,Espècies,0)),(MATCH(L25,Dades_PA!$B$44:$Y$44,0))))*H25*(Dades_PA!$B$142/100)),IF(K25="Vida útil mitjana (&lt;10 anys)",((INDEX(Dades_PA!$B$45:$Y$71,(MATCH(F25,Espècies,0)),(MATCH(L25,Dades_PA!$B$44:$Y$44,0))))*H25*(Dades_PA!$B$143/100)),IF(K25="Vida útil llarga (&gt;30 anys)",Dades_PA!$B$144,IF(K25="No s'obté producte",Dades_PA!$B$145,""))))</f>
        <v/>
      </c>
      <c r="Q25" s="200" t="str">
        <f>IF(M25="Vida útil curta (&lt;2 anys)",((INDEX(Dades_PA!$B$45:$Y$71,(MATCH(F25,Espècies,0)),(MATCH(N25,Dades_PA!$B$44:$Y$44,0))))*H25*(Dades_PA!$B$142/100)),IF(M25="Vida útil mitjana (&lt;10 anys)",((INDEX(Dades_PA!$B$45:$Y$71,(MATCH(F25,Espècies,0)),(MATCH(N25,Dades_PA!$B$44:$Y$44,0))))*H25*(Dades_PA!$B$143/100)),IF(M25="Vida útil llarga (&gt;30 anys)",Dades_PA!$B$144,IF(M25="No s'obté producte",Dades_PA!$B$145,""))))</f>
        <v/>
      </c>
      <c r="R25" s="130" t="str">
        <f t="shared" si="3"/>
        <v/>
      </c>
    </row>
    <row r="26" spans="5:18" ht="15.75" customHeight="1">
      <c r="E26" s="339"/>
      <c r="F26" s="195" t="str">
        <f>IF('2.1 Absorcions arbres'!E22=0,"",'2.1 Absorcions arbres'!E22)</f>
        <v/>
      </c>
      <c r="G26" s="202" t="str">
        <f t="shared" si="5"/>
        <v/>
      </c>
      <c r="H26" s="201" t="str">
        <f>IF('2.2 Emissions restes tallada'!I29="","",'2.2 Emissions restes tallada'!I29)</f>
        <v/>
      </c>
      <c r="I26" s="116"/>
      <c r="J26" s="115" t="str">
        <f t="shared" si="0"/>
        <v>Bb&lt;2iBf-</v>
      </c>
      <c r="K26" s="116"/>
      <c r="L26" s="115" t="str">
        <f t="shared" si="1"/>
        <v>Bb&gt;2-</v>
      </c>
      <c r="M26" s="116"/>
      <c r="N26" s="109" t="str">
        <f t="shared" si="2"/>
        <v>Bt-</v>
      </c>
      <c r="O26" s="200" t="str">
        <f>IF(I26="Vida útil curta (&lt;2 anys)",((INDEX(Dades_PA!$B$45:$Y$71,(MATCH(F26,Espècies,0)),(MATCH(J26,Dades_PA!$B$44:$Y$44,0))))*H26*(Dades_PA!$B$142/100)),IF(I26="Vida útil mitjana (&lt;10 anys)",((INDEX(Dades_PA!$B$45:$Y$71,(MATCH(F26,Espècies,0)),(MATCH(J26,Dades_PA!$B$44:$Y$44,0))))*H26*(Dades_PA!$B$143/100)),IF(I26="Vida útil llarga (&gt;30 anys)",Dades_PA!$B$144,IF(I26="No s'obté producte",Dades_PA!$B$145,""))))</f>
        <v/>
      </c>
      <c r="P26" s="200" t="str">
        <f>IF(K26="Vida útil curta (&lt;2 anys)",((INDEX(Dades_PA!$B$45:$Y$71,(MATCH(F26,Espècies,0)),(MATCH(L26,Dades_PA!$B$44:$Y$44,0))))*H26*(Dades_PA!$B$142/100)),IF(K26="Vida útil mitjana (&lt;10 anys)",((INDEX(Dades_PA!$B$45:$Y$71,(MATCH(F26,Espècies,0)),(MATCH(L26,Dades_PA!$B$44:$Y$44,0))))*H26*(Dades_PA!$B$143/100)),IF(K26="Vida útil llarga (&gt;30 anys)",Dades_PA!$B$144,IF(K26="No s'obté producte",Dades_PA!$B$145,""))))</f>
        <v/>
      </c>
      <c r="Q26" s="200" t="str">
        <f>IF(M26="Vida útil curta (&lt;2 anys)",((INDEX(Dades_PA!$B$45:$Y$71,(MATCH(F26,Espècies,0)),(MATCH(N26,Dades_PA!$B$44:$Y$44,0))))*H26*(Dades_PA!$B$142/100)),IF(M26="Vida útil mitjana (&lt;10 anys)",((INDEX(Dades_PA!$B$45:$Y$71,(MATCH(F26,Espècies,0)),(MATCH(N26,Dades_PA!$B$44:$Y$44,0))))*H26*(Dades_PA!$B$143/100)),IF(M26="Vida útil llarga (&gt;30 anys)",Dades_PA!$B$144,IF(M26="No s'obté producte",Dades_PA!$B$145,""))))</f>
        <v/>
      </c>
      <c r="R26" s="130" t="str">
        <f t="shared" si="3"/>
        <v/>
      </c>
    </row>
    <row r="27" spans="5:18" ht="15.75" customHeight="1">
      <c r="E27" s="339"/>
      <c r="F27" s="195" t="str">
        <f>IF('2.1 Absorcions arbres'!E23=0,"",'2.1 Absorcions arbres'!E23)</f>
        <v/>
      </c>
      <c r="G27" s="202" t="str">
        <f t="shared" si="5"/>
        <v/>
      </c>
      <c r="H27" s="201" t="str">
        <f>IF('2.2 Emissions restes tallada'!I30="","",'2.2 Emissions restes tallada'!I30)</f>
        <v/>
      </c>
      <c r="I27" s="116"/>
      <c r="J27" s="115" t="str">
        <f t="shared" si="0"/>
        <v>Bb&lt;2iBf-</v>
      </c>
      <c r="K27" s="116"/>
      <c r="L27" s="115" t="str">
        <f t="shared" si="1"/>
        <v>Bb&gt;2-</v>
      </c>
      <c r="M27" s="116"/>
      <c r="N27" s="109" t="str">
        <f t="shared" si="2"/>
        <v>Bt-</v>
      </c>
      <c r="O27" s="200" t="str">
        <f>IF(I27="Vida útil curta (&lt;2 anys)",((INDEX(Dades_PA!$B$45:$Y$71,(MATCH(F27,Espècies,0)),(MATCH(J27,Dades_PA!$B$44:$Y$44,0))))*H27*(Dades_PA!$B$142/100)),IF(I27="Vida útil mitjana (&lt;10 anys)",((INDEX(Dades_PA!$B$45:$Y$71,(MATCH(F27,Espècies,0)),(MATCH(J27,Dades_PA!$B$44:$Y$44,0))))*H27*(Dades_PA!$B$143/100)),IF(I27="Vida útil llarga (&gt;30 anys)",Dades_PA!$B$144,IF(I27="No s'obté producte",Dades_PA!$B$145,""))))</f>
        <v/>
      </c>
      <c r="P27" s="200" t="str">
        <f>IF(K27="Vida útil curta (&lt;2 anys)",((INDEX(Dades_PA!$B$45:$Y$71,(MATCH(F27,Espècies,0)),(MATCH(L27,Dades_PA!$B$44:$Y$44,0))))*H27*(Dades_PA!$B$142/100)),IF(K27="Vida útil mitjana (&lt;10 anys)",((INDEX(Dades_PA!$B$45:$Y$71,(MATCH(F27,Espècies,0)),(MATCH(L27,Dades_PA!$B$44:$Y$44,0))))*H27*(Dades_PA!$B$143/100)),IF(K27="Vida útil llarga (&gt;30 anys)",Dades_PA!$B$144,IF(K27="No s'obté producte",Dades_PA!$B$145,""))))</f>
        <v/>
      </c>
      <c r="Q27" s="200" t="str">
        <f>IF(M27="Vida útil curta (&lt;2 anys)",((INDEX(Dades_PA!$B$45:$Y$71,(MATCH(F27,Espècies,0)),(MATCH(N27,Dades_PA!$B$44:$Y$44,0))))*H27*(Dades_PA!$B$142/100)),IF(M27="Vida útil mitjana (&lt;10 anys)",((INDEX(Dades_PA!$B$45:$Y$71,(MATCH(F27,Espècies,0)),(MATCH(N27,Dades_PA!$B$44:$Y$44,0))))*H27*(Dades_PA!$B$143/100)),IF(M27="Vida útil llarga (&gt;30 anys)",Dades_PA!$B$144,IF(M27="No s'obté producte",Dades_PA!$B$145,""))))</f>
        <v/>
      </c>
      <c r="R27" s="130" t="str">
        <f t="shared" si="3"/>
        <v/>
      </c>
    </row>
    <row r="28" spans="5:18" ht="15.75" customHeight="1">
      <c r="E28" s="339"/>
      <c r="F28" s="195" t="str">
        <f>IF('2.1 Absorcions arbres'!E24=0,"",'2.1 Absorcions arbres'!E24)</f>
        <v/>
      </c>
      <c r="G28" s="202" t="str">
        <f t="shared" si="5"/>
        <v/>
      </c>
      <c r="H28" s="201" t="str">
        <f>IF('2.2 Emissions restes tallada'!I31="","",'2.2 Emissions restes tallada'!I31)</f>
        <v/>
      </c>
      <c r="I28" s="116"/>
      <c r="J28" s="115" t="str">
        <f t="shared" si="0"/>
        <v>Bb&lt;2iBf-</v>
      </c>
      <c r="K28" s="116"/>
      <c r="L28" s="115" t="str">
        <f t="shared" si="1"/>
        <v>Bb&gt;2-</v>
      </c>
      <c r="M28" s="116"/>
      <c r="N28" s="109" t="str">
        <f t="shared" si="2"/>
        <v>Bt-</v>
      </c>
      <c r="O28" s="200" t="str">
        <f>IF(I28="Vida útil curta (&lt;2 anys)",((INDEX(Dades_PA!$B$45:$Y$71,(MATCH(F28,Espècies,0)),(MATCH(J28,Dades_PA!$B$44:$Y$44,0))))*H28*(Dades_PA!$B$142/100)),IF(I28="Vida útil mitjana (&lt;10 anys)",((INDEX(Dades_PA!$B$45:$Y$71,(MATCH(F28,Espècies,0)),(MATCH(J28,Dades_PA!$B$44:$Y$44,0))))*H28*(Dades_PA!$B$143/100)),IF(I28="Vida útil llarga (&gt;30 anys)",Dades_PA!$B$144,IF(I28="No s'obté producte",Dades_PA!$B$145,""))))</f>
        <v/>
      </c>
      <c r="P28" s="200" t="str">
        <f>IF(K28="Vida útil curta (&lt;2 anys)",((INDEX(Dades_PA!$B$45:$Y$71,(MATCH(F28,Espècies,0)),(MATCH(L28,Dades_PA!$B$44:$Y$44,0))))*H28*(Dades_PA!$B$142/100)),IF(K28="Vida útil mitjana (&lt;10 anys)",((INDEX(Dades_PA!$B$45:$Y$71,(MATCH(F28,Espècies,0)),(MATCH(L28,Dades_PA!$B$44:$Y$44,0))))*H28*(Dades_PA!$B$143/100)),IF(K28="Vida útil llarga (&gt;30 anys)",Dades_PA!$B$144,IF(K28="No s'obté producte",Dades_PA!$B$145,""))))</f>
        <v/>
      </c>
      <c r="Q28" s="200" t="str">
        <f>IF(M28="Vida útil curta (&lt;2 anys)",((INDEX(Dades_PA!$B$45:$Y$71,(MATCH(F28,Espècies,0)),(MATCH(N28,Dades_PA!$B$44:$Y$44,0))))*H28*(Dades_PA!$B$142/100)),IF(M28="Vida útil mitjana (&lt;10 anys)",((INDEX(Dades_PA!$B$45:$Y$71,(MATCH(F28,Espècies,0)),(MATCH(N28,Dades_PA!$B$44:$Y$44,0))))*H28*(Dades_PA!$B$143/100)),IF(M28="Vida útil llarga (&gt;30 anys)",Dades_PA!$B$144,IF(M28="No s'obté producte",Dades_PA!$B$145,""))))</f>
        <v/>
      </c>
      <c r="R28" s="130" t="str">
        <f t="shared" si="3"/>
        <v/>
      </c>
    </row>
    <row r="29" spans="5:18" ht="15.75" customHeight="1">
      <c r="E29" s="339"/>
      <c r="F29" s="195" t="str">
        <f>IF('2.1 Absorcions arbres'!E25=0,"",'2.1 Absorcions arbres'!E25)</f>
        <v/>
      </c>
      <c r="G29" s="202" t="str">
        <f t="shared" si="5"/>
        <v/>
      </c>
      <c r="H29" s="201" t="str">
        <f>IF('2.2 Emissions restes tallada'!I32="","",'2.2 Emissions restes tallada'!I32)</f>
        <v/>
      </c>
      <c r="I29" s="116"/>
      <c r="J29" s="115" t="str">
        <f t="shared" si="0"/>
        <v>Bb&lt;2iBf-</v>
      </c>
      <c r="K29" s="116"/>
      <c r="L29" s="115" t="str">
        <f t="shared" si="1"/>
        <v>Bb&gt;2-</v>
      </c>
      <c r="M29" s="116"/>
      <c r="N29" s="109" t="str">
        <f t="shared" si="2"/>
        <v>Bt-</v>
      </c>
      <c r="O29" s="200" t="str">
        <f>IF(I29="Vida útil curta (&lt;2 anys)",((INDEX(Dades_PA!$B$45:$Y$71,(MATCH(F29,Espècies,0)),(MATCH(J29,Dades_PA!$B$44:$Y$44,0))))*H29*(Dades_PA!$B$142/100)),IF(I29="Vida útil mitjana (&lt;10 anys)",((INDEX(Dades_PA!$B$45:$Y$71,(MATCH(F29,Espècies,0)),(MATCH(J29,Dades_PA!$B$44:$Y$44,0))))*H29*(Dades_PA!$B$143/100)),IF(I29="Vida útil llarga (&gt;30 anys)",Dades_PA!$B$144,IF(I29="No s'obté producte",Dades_PA!$B$145,""))))</f>
        <v/>
      </c>
      <c r="P29" s="200" t="str">
        <f>IF(K29="Vida útil curta (&lt;2 anys)",((INDEX(Dades_PA!$B$45:$Y$71,(MATCH(F29,Espècies,0)),(MATCH(L29,Dades_PA!$B$44:$Y$44,0))))*H29*(Dades_PA!$B$142/100)),IF(K29="Vida útil mitjana (&lt;10 anys)",((INDEX(Dades_PA!$B$45:$Y$71,(MATCH(F29,Espècies,0)),(MATCH(L29,Dades_PA!$B$44:$Y$44,0))))*H29*(Dades_PA!$B$143/100)),IF(K29="Vida útil llarga (&gt;30 anys)",Dades_PA!$B$144,IF(K29="No s'obté producte",Dades_PA!$B$145,""))))</f>
        <v/>
      </c>
      <c r="Q29" s="200" t="str">
        <f>IF(M29="Vida útil curta (&lt;2 anys)",((INDEX(Dades_PA!$B$45:$Y$71,(MATCH(F29,Espècies,0)),(MATCH(N29,Dades_PA!$B$44:$Y$44,0))))*H29*(Dades_PA!$B$142/100)),IF(M29="Vida útil mitjana (&lt;10 anys)",((INDEX(Dades_PA!$B$45:$Y$71,(MATCH(F29,Espècies,0)),(MATCH(N29,Dades_PA!$B$44:$Y$44,0))))*H29*(Dades_PA!$B$143/100)),IF(M29="Vida útil llarga (&gt;30 anys)",Dades_PA!$B$144,IF(M29="No s'obté producte",Dades_PA!$B$145,""))))</f>
        <v/>
      </c>
      <c r="R29" s="130" t="str">
        <f t="shared" si="3"/>
        <v/>
      </c>
    </row>
    <row r="30" spans="5:18" ht="15.75" customHeight="1" thickBot="1">
      <c r="E30" s="340"/>
      <c r="F30" s="196" t="str">
        <f>IF('2.1 Absorcions arbres'!E26=0,"",'2.1 Absorcions arbres'!E26)</f>
        <v/>
      </c>
      <c r="G30" s="212" t="str">
        <f t="shared" si="5"/>
        <v/>
      </c>
      <c r="H30" s="213" t="str">
        <f>IF('2.2 Emissions restes tallada'!I33="","",'2.2 Emissions restes tallada'!I33)</f>
        <v/>
      </c>
      <c r="I30" s="118"/>
      <c r="J30" s="117" t="str">
        <f t="shared" si="0"/>
        <v>Bb&lt;2iBf-</v>
      </c>
      <c r="K30" s="118"/>
      <c r="L30" s="117" t="str">
        <f t="shared" si="1"/>
        <v>Bb&gt;2-</v>
      </c>
      <c r="M30" s="118"/>
      <c r="N30" s="113" t="str">
        <f t="shared" si="2"/>
        <v>Bt-</v>
      </c>
      <c r="O30" s="214" t="str">
        <f>IF(I30="Vida útil curta (&lt;2 anys)",((INDEX(Dades_PA!$B$45:$Y$71,(MATCH(F30,Espècies,0)),(MATCH(J30,Dades_PA!$B$44:$Y$44,0))))*H30*(Dades_PA!$B$142/100)),IF(I30="Vida útil mitjana (&lt;10 anys)",((INDEX(Dades_PA!$B$45:$Y$71,(MATCH(F30,Espècies,0)),(MATCH(J30,Dades_PA!$B$44:$Y$44,0))))*H30*(Dades_PA!$B$143/100)),IF(I30="Vida útil llarga (&gt;30 anys)",Dades_PA!$B$144,IF(I30="No s'obté producte",Dades_PA!$B$145,""))))</f>
        <v/>
      </c>
      <c r="P30" s="214" t="str">
        <f>IF(K30="Vida útil curta (&lt;2 anys)",((INDEX(Dades_PA!$B$45:$Y$71,(MATCH(F30,Espècies,0)),(MATCH(L30,Dades_PA!$B$44:$Y$44,0))))*H30*(Dades_PA!$B$142/100)),IF(K30="Vida útil mitjana (&lt;10 anys)",((INDEX(Dades_PA!$B$45:$Y$71,(MATCH(F30,Espècies,0)),(MATCH(L30,Dades_PA!$B$44:$Y$44,0))))*H30*(Dades_PA!$B$143/100)),IF(K30="Vida útil llarga (&gt;30 anys)",Dades_PA!$B$144,IF(K30="No s'obté producte",Dades_PA!$B$145,""))))</f>
        <v/>
      </c>
      <c r="Q30" s="214" t="str">
        <f>IF(M30="Vida útil curta (&lt;2 anys)",((INDEX(Dades_PA!$B$45:$Y$71,(MATCH(F30,Espècies,0)),(MATCH(N30,Dades_PA!$B$44:$Y$44,0))))*H30*(Dades_PA!$B$142/100)),IF(M30="Vida útil mitjana (&lt;10 anys)",((INDEX(Dades_PA!$B$45:$Y$71,(MATCH(F30,Espècies,0)),(MATCH(N30,Dades_PA!$B$44:$Y$44,0))))*H30*(Dades_PA!$B$143/100)),IF(M30="Vida útil llarga (&gt;30 anys)",Dades_PA!$B$144,IF(M30="No s'obté producte",Dades_PA!$B$145,""))))</f>
        <v/>
      </c>
      <c r="R30" s="131" t="str">
        <f t="shared" si="3"/>
        <v/>
      </c>
    </row>
    <row r="31" spans="5:18" ht="15.75" customHeight="1">
      <c r="E31" s="338" t="str">
        <f>IF(('1. Dades generals del projecte'!D32)="","",('1. Dades generals del projecte'!D32))</f>
        <v/>
      </c>
      <c r="F31" s="194" t="str">
        <f>IF('2.1 Absorcions arbres'!E27=0,"",'2.1 Absorcions arbres'!E27)</f>
        <v/>
      </c>
      <c r="G31" s="209" t="str">
        <f>IF(('2.1 Absorcions arbres'!H27&gt;0),('2.1 Absorcions arbres'!H27),"")</f>
        <v/>
      </c>
      <c r="H31" s="210" t="str">
        <f>IF('2.2 Emissions restes tallada'!I34="","",'2.2 Emissions restes tallada'!I34)</f>
        <v/>
      </c>
      <c r="I31" s="101"/>
      <c r="J31" s="114" t="str">
        <f t="shared" si="0"/>
        <v>Bb&lt;2iBf-</v>
      </c>
      <c r="K31" s="101"/>
      <c r="L31" s="114" t="str">
        <f t="shared" si="1"/>
        <v>Bb&gt;2-</v>
      </c>
      <c r="M31" s="101"/>
      <c r="N31" s="105" t="str">
        <f t="shared" si="2"/>
        <v>Bt-</v>
      </c>
      <c r="O31" s="194" t="str">
        <f>IF(I31="Vida útil curta (&lt;2 anys)",((INDEX(Dades_PA!$B$45:$Y$71,(MATCH(F31,Espècies,0)),(MATCH(J31,Dades_PA!$B$44:$Y$44,0))))*H31*(Dades_PA!$B$142/100)),IF(I31="Vida útil mitjana (&lt;10 anys)",((INDEX(Dades_PA!$B$45:$Y$71,(MATCH(F31,Espècies,0)),(MATCH(J31,Dades_PA!$B$44:$Y$44,0))))*H31*(Dades_PA!$B$143/100)),IF(I31="Vida útil llarga (&gt;30 anys)",Dades_PA!$B$144,IF(I31="No s'obté producte",Dades_PA!$B$145,""))))</f>
        <v/>
      </c>
      <c r="P31" s="194" t="str">
        <f>IF(K31="Vida útil curta (&lt;2 anys)",((INDEX(Dades_PA!$B$45:$Y$71,(MATCH(F31,Espècies,0)),(MATCH(L31,Dades_PA!$B$44:$Y$44,0))))*H31*(Dades_PA!$B$142/100)),IF(K31="Vida útil mitjana (&lt;10 anys)",((INDEX(Dades_PA!$B$45:$Y$71,(MATCH(F31,Espècies,0)),(MATCH(L31,Dades_PA!$B$44:$Y$44,0))))*H31*(Dades_PA!$B$143/100)),IF(K31="Vida útil llarga (&gt;30 anys)",Dades_PA!$B$144,IF(K31="No s'obté producte",Dades_PA!$B$145,""))))</f>
        <v/>
      </c>
      <c r="Q31" s="194" t="str">
        <f>IF(M31="Vida útil curta (&lt;2 anys)",((INDEX(Dades_PA!$B$45:$Y$71,(MATCH(F31,Espècies,0)),(MATCH(N31,Dades_PA!$B$44:$Y$44,0))))*H31*(Dades_PA!$B$142/100)),IF(M31="Vida útil mitjana (&lt;10 anys)",((INDEX(Dades_PA!$B$45:$Y$71,(MATCH(F31,Espècies,0)),(MATCH(N31,Dades_PA!$B$44:$Y$44,0))))*H31*(Dades_PA!$B$143/100)),IF(M31="Vida útil llarga (&gt;30 anys)",Dades_PA!$B$144,IF(M31="No s'obté producte",Dades_PA!$B$145,""))))</f>
        <v/>
      </c>
      <c r="R31" s="129" t="str">
        <f t="shared" si="3"/>
        <v/>
      </c>
    </row>
    <row r="32" spans="5:18" ht="16.5">
      <c r="E32" s="339"/>
      <c r="F32" s="195" t="str">
        <f>IF('2.1 Absorcions arbres'!E28=0,"",'2.1 Absorcions arbres'!E28)</f>
        <v/>
      </c>
      <c r="G32" s="202" t="str">
        <f>$G$31</f>
        <v/>
      </c>
      <c r="H32" s="201" t="str">
        <f>IF('2.2 Emissions restes tallada'!I35="","",'2.2 Emissions restes tallada'!I35)</f>
        <v/>
      </c>
      <c r="I32" s="116"/>
      <c r="J32" s="115" t="str">
        <f t="shared" si="0"/>
        <v>Bb&lt;2iBf-</v>
      </c>
      <c r="K32" s="116"/>
      <c r="L32" s="115" t="str">
        <f t="shared" si="1"/>
        <v>Bb&gt;2-</v>
      </c>
      <c r="M32" s="116"/>
      <c r="N32" s="109" t="str">
        <f t="shared" si="2"/>
        <v>Bt-</v>
      </c>
      <c r="O32" s="200" t="str">
        <f>IF(I32="Vida útil curta (&lt;2 anys)",((INDEX(Dades_PA!$B$45:$Y$71,(MATCH(F32,Espècies,0)),(MATCH(J32,Dades_PA!$B$44:$Y$44,0))))*H32*(Dades_PA!$B$142/100)),IF(I32="Vida útil mitjana (&lt;10 anys)",((INDEX(Dades_PA!$B$45:$Y$71,(MATCH(F32,Espècies,0)),(MATCH(J32,Dades_PA!$B$44:$Y$44,0))))*H32*(Dades_PA!$B$143/100)),IF(I32="Vida útil llarga (&gt;30 anys)",Dades_PA!$B$144,IF(I32="No s'obté producte",Dades_PA!$B$145,""))))</f>
        <v/>
      </c>
      <c r="P32" s="200" t="str">
        <f>IF(K32="Vida útil curta (&lt;2 anys)",((INDEX(Dades_PA!$B$45:$Y$71,(MATCH(F32,Espècies,0)),(MATCH(L32,Dades_PA!$B$44:$Y$44,0))))*H32*(Dades_PA!$B$142/100)),IF(K32="Vida útil mitjana (&lt;10 anys)",((INDEX(Dades_PA!$B$45:$Y$71,(MATCH(F32,Espècies,0)),(MATCH(L32,Dades_PA!$B$44:$Y$44,0))))*H32*(Dades_PA!$B$143/100)),IF(K32="Vida útil llarga (&gt;30 anys)",Dades_PA!$B$144,IF(K32="No s'obté producte",Dades_PA!$B$145,""))))</f>
        <v/>
      </c>
      <c r="Q32" s="200" t="str">
        <f>IF(M32="Vida útil curta (&lt;2 anys)",((INDEX(Dades_PA!$B$45:$Y$71,(MATCH(F32,Espècies,0)),(MATCH(N32,Dades_PA!$B$44:$Y$44,0))))*H32*(Dades_PA!$B$142/100)),IF(M32="Vida útil mitjana (&lt;10 anys)",((INDEX(Dades_PA!$B$45:$Y$71,(MATCH(F32,Espècies,0)),(MATCH(N32,Dades_PA!$B$44:$Y$44,0))))*H32*(Dades_PA!$B$143/100)),IF(M32="Vida útil llarga (&gt;30 anys)",Dades_PA!$B$144,IF(M32="No s'obté producte",Dades_PA!$B$145,""))))</f>
        <v/>
      </c>
      <c r="R32" s="130" t="str">
        <f t="shared" si="3"/>
        <v/>
      </c>
    </row>
    <row r="33" spans="2:21" ht="18" customHeight="1">
      <c r="E33" s="339"/>
      <c r="F33" s="195" t="str">
        <f>IF('2.1 Absorcions arbres'!E29=0,"",'2.1 Absorcions arbres'!E29)</f>
        <v/>
      </c>
      <c r="G33" s="202" t="str">
        <f t="shared" ref="G33:G40" si="6">$G$31</f>
        <v/>
      </c>
      <c r="H33" s="201" t="str">
        <f>IF('2.2 Emissions restes tallada'!I36="","",'2.2 Emissions restes tallada'!I36)</f>
        <v/>
      </c>
      <c r="I33" s="116"/>
      <c r="J33" s="115" t="str">
        <f t="shared" si="0"/>
        <v>Bb&lt;2iBf-</v>
      </c>
      <c r="K33" s="116"/>
      <c r="L33" s="115" t="str">
        <f t="shared" si="1"/>
        <v>Bb&gt;2-</v>
      </c>
      <c r="M33" s="116"/>
      <c r="N33" s="109" t="str">
        <f t="shared" si="2"/>
        <v>Bt-</v>
      </c>
      <c r="O33" s="200" t="str">
        <f>IF(I33="Vida útil curta (&lt;2 anys)",((INDEX(Dades_PA!$B$45:$Y$71,(MATCH(F33,Espècies,0)),(MATCH(J33,Dades_PA!$B$44:$Y$44,0))))*H33*(Dades_PA!$B$142/100)),IF(I33="Vida útil mitjana (&lt;10 anys)",((INDEX(Dades_PA!$B$45:$Y$71,(MATCH(F33,Espècies,0)),(MATCH(J33,Dades_PA!$B$44:$Y$44,0))))*H33*(Dades_PA!$B$143/100)),IF(I33="Vida útil llarga (&gt;30 anys)",Dades_PA!$B$144,IF(I33="No s'obté producte",Dades_PA!$B$145,""))))</f>
        <v/>
      </c>
      <c r="P33" s="200" t="str">
        <f>IF(K33="Vida útil curta (&lt;2 anys)",((INDEX(Dades_PA!$B$45:$Y$71,(MATCH(F33,Espècies,0)),(MATCH(L33,Dades_PA!$B$44:$Y$44,0))))*H33*(Dades_PA!$B$142/100)),IF(K33="Vida útil mitjana (&lt;10 anys)",((INDEX(Dades_PA!$B$45:$Y$71,(MATCH(F33,Espècies,0)),(MATCH(L33,Dades_PA!$B$44:$Y$44,0))))*H33*(Dades_PA!$B$143/100)),IF(K33="Vida útil llarga (&gt;30 anys)",Dades_PA!$B$144,IF(K33="No s'obté producte",Dades_PA!$B$145,""))))</f>
        <v/>
      </c>
      <c r="Q33" s="200" t="str">
        <f>IF(M33="Vida útil curta (&lt;2 anys)",((INDEX(Dades_PA!$B$45:$Y$71,(MATCH(F33,Espècies,0)),(MATCH(N33,Dades_PA!$B$44:$Y$44,0))))*H33*(Dades_PA!$B$142/100)),IF(M33="Vida útil mitjana (&lt;10 anys)",((INDEX(Dades_PA!$B$45:$Y$71,(MATCH(F33,Espècies,0)),(MATCH(N33,Dades_PA!$B$44:$Y$44,0))))*H33*(Dades_PA!$B$143/100)),IF(M33="Vida útil llarga (&gt;30 anys)",Dades_PA!$B$144,IF(M33="No s'obté producte",Dades_PA!$B$145,""))))</f>
        <v/>
      </c>
      <c r="R33" s="130" t="str">
        <f t="shared" si="3"/>
        <v/>
      </c>
    </row>
    <row r="34" spans="2:21" ht="16.5">
      <c r="E34" s="339"/>
      <c r="F34" s="195" t="str">
        <f>IF('2.1 Absorcions arbres'!E30=0,"",'2.1 Absorcions arbres'!E30)</f>
        <v/>
      </c>
      <c r="G34" s="202" t="str">
        <f t="shared" si="6"/>
        <v/>
      </c>
      <c r="H34" s="201" t="str">
        <f>IF('2.2 Emissions restes tallada'!I37="","",'2.2 Emissions restes tallada'!I37)</f>
        <v/>
      </c>
      <c r="I34" s="116"/>
      <c r="J34" s="115" t="str">
        <f t="shared" si="0"/>
        <v>Bb&lt;2iBf-</v>
      </c>
      <c r="K34" s="116"/>
      <c r="L34" s="115" t="str">
        <f t="shared" si="1"/>
        <v>Bb&gt;2-</v>
      </c>
      <c r="M34" s="116"/>
      <c r="N34" s="109" t="str">
        <f t="shared" si="2"/>
        <v>Bt-</v>
      </c>
      <c r="O34" s="200" t="str">
        <f>IF(I34="Vida útil curta (&lt;2 anys)",((INDEX(Dades_PA!$B$45:$Y$71,(MATCH(F34,Espècies,0)),(MATCH(J34,Dades_PA!$B$44:$Y$44,0))))*H34*(Dades_PA!$B$142/100)),IF(I34="Vida útil mitjana (&lt;10 anys)",((INDEX(Dades_PA!$B$45:$Y$71,(MATCH(F34,Espècies,0)),(MATCH(J34,Dades_PA!$B$44:$Y$44,0))))*H34*(Dades_PA!$B$143/100)),IF(I34="Vida útil llarga (&gt;30 anys)",Dades_PA!$B$144,IF(I34="No s'obté producte",Dades_PA!$B$145,""))))</f>
        <v/>
      </c>
      <c r="P34" s="200" t="str">
        <f>IF(K34="Vida útil curta (&lt;2 anys)",((INDEX(Dades_PA!$B$45:$Y$71,(MATCH(F34,Espècies,0)),(MATCH(L34,Dades_PA!$B$44:$Y$44,0))))*H34*(Dades_PA!$B$142/100)),IF(K34="Vida útil mitjana (&lt;10 anys)",((INDEX(Dades_PA!$B$45:$Y$71,(MATCH(F34,Espècies,0)),(MATCH(L34,Dades_PA!$B$44:$Y$44,0))))*H34*(Dades_PA!$B$143/100)),IF(K34="Vida útil llarga (&gt;30 anys)",Dades_PA!$B$144,IF(K34="No s'obté producte",Dades_PA!$B$145,""))))</f>
        <v/>
      </c>
      <c r="Q34" s="200" t="str">
        <f>IF(M34="Vida útil curta (&lt;2 anys)",((INDEX(Dades_PA!$B$45:$Y$71,(MATCH(F34,Espècies,0)),(MATCH(N34,Dades_PA!$B$44:$Y$44,0))))*H34*(Dades_PA!$B$142/100)),IF(M34="Vida útil mitjana (&lt;10 anys)",((INDEX(Dades_PA!$B$45:$Y$71,(MATCH(F34,Espècies,0)),(MATCH(N34,Dades_PA!$B$44:$Y$44,0))))*H34*(Dades_PA!$B$143/100)),IF(M34="Vida útil llarga (&gt;30 anys)",Dades_PA!$B$144,IF(M34="No s'obté producte",Dades_PA!$B$145,""))))</f>
        <v/>
      </c>
      <c r="R34" s="130" t="str">
        <f t="shared" si="3"/>
        <v/>
      </c>
    </row>
    <row r="35" spans="2:21" s="58" customFormat="1" ht="16.5">
      <c r="B35" s="45"/>
      <c r="C35" s="45"/>
      <c r="D35" s="59"/>
      <c r="E35" s="339"/>
      <c r="F35" s="195" t="str">
        <f>IF('2.1 Absorcions arbres'!E31=0,"",'2.1 Absorcions arbres'!E31)</f>
        <v/>
      </c>
      <c r="G35" s="202" t="str">
        <f t="shared" si="6"/>
        <v/>
      </c>
      <c r="H35" s="201" t="str">
        <f>IF('2.2 Emissions restes tallada'!I38="","",'2.2 Emissions restes tallada'!I38)</f>
        <v/>
      </c>
      <c r="I35" s="116"/>
      <c r="J35" s="115" t="str">
        <f t="shared" si="0"/>
        <v>Bb&lt;2iBf-</v>
      </c>
      <c r="K35" s="116"/>
      <c r="L35" s="115" t="str">
        <f t="shared" si="1"/>
        <v>Bb&gt;2-</v>
      </c>
      <c r="M35" s="116"/>
      <c r="N35" s="109" t="str">
        <f t="shared" si="2"/>
        <v>Bt-</v>
      </c>
      <c r="O35" s="200" t="str">
        <f>IF(I35="Vida útil curta (&lt;2 anys)",((INDEX(Dades_PA!$B$45:$Y$71,(MATCH(F35,Espècies,0)),(MATCH(J35,Dades_PA!$B$44:$Y$44,0))))*H35*(Dades_PA!$B$142/100)),IF(I35="Vida útil mitjana (&lt;10 anys)",((INDEX(Dades_PA!$B$45:$Y$71,(MATCH(F35,Espècies,0)),(MATCH(J35,Dades_PA!$B$44:$Y$44,0))))*H35*(Dades_PA!$B$143/100)),IF(I35="Vida útil llarga (&gt;30 anys)",Dades_PA!$B$144,IF(I35="No s'obté producte",Dades_PA!$B$145,""))))</f>
        <v/>
      </c>
      <c r="P35" s="200" t="str">
        <f>IF(K35="Vida útil curta (&lt;2 anys)",((INDEX(Dades_PA!$B$45:$Y$71,(MATCH(F35,Espècies,0)),(MATCH(L35,Dades_PA!$B$44:$Y$44,0))))*H35*(Dades_PA!$B$142/100)),IF(K35="Vida útil mitjana (&lt;10 anys)",((INDEX(Dades_PA!$B$45:$Y$71,(MATCH(F35,Espècies,0)),(MATCH(L35,Dades_PA!$B$44:$Y$44,0))))*H35*(Dades_PA!$B$143/100)),IF(K35="Vida útil llarga (&gt;30 anys)",Dades_PA!$B$144,IF(K35="No s'obté producte",Dades_PA!$B$145,""))))</f>
        <v/>
      </c>
      <c r="Q35" s="200" t="str">
        <f>IF(M35="Vida útil curta (&lt;2 anys)",((INDEX(Dades_PA!$B$45:$Y$71,(MATCH(F35,Espècies,0)),(MATCH(N35,Dades_PA!$B$44:$Y$44,0))))*H35*(Dades_PA!$B$142/100)),IF(M35="Vida útil mitjana (&lt;10 anys)",((INDEX(Dades_PA!$B$45:$Y$71,(MATCH(F35,Espècies,0)),(MATCH(N35,Dades_PA!$B$44:$Y$44,0))))*H35*(Dades_PA!$B$143/100)),IF(M35="Vida útil llarga (&gt;30 anys)",Dades_PA!$B$144,IF(M35="No s'obté producte",Dades_PA!$B$145,""))))</f>
        <v/>
      </c>
      <c r="R35" s="130" t="str">
        <f t="shared" si="3"/>
        <v/>
      </c>
      <c r="S35" s="59"/>
      <c r="T35" s="59"/>
      <c r="U35" s="59"/>
    </row>
    <row r="36" spans="2:21" ht="15" customHeight="1">
      <c r="E36" s="339"/>
      <c r="F36" s="195" t="str">
        <f>IF('2.1 Absorcions arbres'!E32=0,"",'2.1 Absorcions arbres'!E32)</f>
        <v/>
      </c>
      <c r="G36" s="202" t="str">
        <f t="shared" si="6"/>
        <v/>
      </c>
      <c r="H36" s="201" t="str">
        <f>IF('2.2 Emissions restes tallada'!I39="","",'2.2 Emissions restes tallada'!I39)</f>
        <v/>
      </c>
      <c r="I36" s="116"/>
      <c r="J36" s="115" t="str">
        <f t="shared" si="0"/>
        <v>Bb&lt;2iBf-</v>
      </c>
      <c r="K36" s="116"/>
      <c r="L36" s="115" t="str">
        <f t="shared" si="1"/>
        <v>Bb&gt;2-</v>
      </c>
      <c r="M36" s="116"/>
      <c r="N36" s="109" t="str">
        <f t="shared" si="2"/>
        <v>Bt-</v>
      </c>
      <c r="O36" s="200" t="str">
        <f>IF(I36="Vida útil curta (&lt;2 anys)",((INDEX(Dades_PA!$B$45:$Y$71,(MATCH(F36,Espècies,0)),(MATCH(J36,Dades_PA!$B$44:$Y$44,0))))*H36*(Dades_PA!$B$142/100)),IF(I36="Vida útil mitjana (&lt;10 anys)",((INDEX(Dades_PA!$B$45:$Y$71,(MATCH(F36,Espècies,0)),(MATCH(J36,Dades_PA!$B$44:$Y$44,0))))*H36*(Dades_PA!$B$143/100)),IF(I36="Vida útil llarga (&gt;30 anys)",Dades_PA!$B$144,IF(I36="No s'obté producte",Dades_PA!$B$145,""))))</f>
        <v/>
      </c>
      <c r="P36" s="200" t="str">
        <f>IF(K36="Vida útil curta (&lt;2 anys)",((INDEX(Dades_PA!$B$45:$Y$71,(MATCH(F36,Espècies,0)),(MATCH(L36,Dades_PA!$B$44:$Y$44,0))))*H36*(Dades_PA!$B$142/100)),IF(K36="Vida útil mitjana (&lt;10 anys)",((INDEX(Dades_PA!$B$45:$Y$71,(MATCH(F36,Espècies,0)),(MATCH(L36,Dades_PA!$B$44:$Y$44,0))))*H36*(Dades_PA!$B$143/100)),IF(K36="Vida útil llarga (&gt;30 anys)",Dades_PA!$B$144,IF(K36="No s'obté producte",Dades_PA!$B$145,""))))</f>
        <v/>
      </c>
      <c r="Q36" s="200" t="str">
        <f>IF(M36="Vida útil curta (&lt;2 anys)",((INDEX(Dades_PA!$B$45:$Y$71,(MATCH(F36,Espècies,0)),(MATCH(N36,Dades_PA!$B$44:$Y$44,0))))*H36*(Dades_PA!$B$142/100)),IF(M36="Vida útil mitjana (&lt;10 anys)",((INDEX(Dades_PA!$B$45:$Y$71,(MATCH(F36,Espècies,0)),(MATCH(N36,Dades_PA!$B$44:$Y$44,0))))*H36*(Dades_PA!$B$143/100)),IF(M36="Vida útil llarga (&gt;30 anys)",Dades_PA!$B$144,IF(M36="No s'obté producte",Dades_PA!$B$145,""))))</f>
        <v/>
      </c>
      <c r="R36" s="130" t="str">
        <f t="shared" si="3"/>
        <v/>
      </c>
    </row>
    <row r="37" spans="2:21" ht="16.5">
      <c r="E37" s="339"/>
      <c r="F37" s="195" t="str">
        <f>IF('2.1 Absorcions arbres'!E33=0,"",'2.1 Absorcions arbres'!E33)</f>
        <v/>
      </c>
      <c r="G37" s="202" t="str">
        <f t="shared" si="6"/>
        <v/>
      </c>
      <c r="H37" s="201" t="str">
        <f>IF('2.2 Emissions restes tallada'!I40="","",'2.2 Emissions restes tallada'!I40)</f>
        <v/>
      </c>
      <c r="I37" s="116"/>
      <c r="J37" s="115" t="str">
        <f t="shared" si="0"/>
        <v>Bb&lt;2iBf-</v>
      </c>
      <c r="K37" s="116"/>
      <c r="L37" s="115" t="str">
        <f t="shared" si="1"/>
        <v>Bb&gt;2-</v>
      </c>
      <c r="M37" s="116"/>
      <c r="N37" s="109" t="str">
        <f t="shared" si="2"/>
        <v>Bt-</v>
      </c>
      <c r="O37" s="200" t="str">
        <f>IF(I37="Vida útil curta (&lt;2 anys)",((INDEX(Dades_PA!$B$45:$Y$71,(MATCH(F37,Espècies,0)),(MATCH(J37,Dades_PA!$B$44:$Y$44,0))))*H37*(Dades_PA!$B$142/100)),IF(I37="Vida útil mitjana (&lt;10 anys)",((INDEX(Dades_PA!$B$45:$Y$71,(MATCH(F37,Espècies,0)),(MATCH(J37,Dades_PA!$B$44:$Y$44,0))))*H37*(Dades_PA!$B$143/100)),IF(I37="Vida útil llarga (&gt;30 anys)",Dades_PA!$B$144,IF(I37="No s'obté producte",Dades_PA!$B$145,""))))</f>
        <v/>
      </c>
      <c r="P37" s="200" t="str">
        <f>IF(K37="Vida útil curta (&lt;2 anys)",((INDEX(Dades_PA!$B$45:$Y$71,(MATCH(F37,Espècies,0)),(MATCH(L37,Dades_PA!$B$44:$Y$44,0))))*H37*(Dades_PA!$B$142/100)),IF(K37="Vida útil mitjana (&lt;10 anys)",((INDEX(Dades_PA!$B$45:$Y$71,(MATCH(F37,Espècies,0)),(MATCH(L37,Dades_PA!$B$44:$Y$44,0))))*H37*(Dades_PA!$B$143/100)),IF(K37="Vida útil llarga (&gt;30 anys)",Dades_PA!$B$144,IF(K37="No s'obté producte",Dades_PA!$B$145,""))))</f>
        <v/>
      </c>
      <c r="Q37" s="200" t="str">
        <f>IF(M37="Vida útil curta (&lt;2 anys)",((INDEX(Dades_PA!$B$45:$Y$71,(MATCH(F37,Espècies,0)),(MATCH(N37,Dades_PA!$B$44:$Y$44,0))))*H37*(Dades_PA!$B$142/100)),IF(M37="Vida útil mitjana (&lt;10 anys)",((INDEX(Dades_PA!$B$45:$Y$71,(MATCH(F37,Espècies,0)),(MATCH(N37,Dades_PA!$B$44:$Y$44,0))))*H37*(Dades_PA!$B$143/100)),IF(M37="Vida útil llarga (&gt;30 anys)",Dades_PA!$B$144,IF(M37="No s'obté producte",Dades_PA!$B$145,""))))</f>
        <v/>
      </c>
      <c r="R37" s="130" t="str">
        <f t="shared" si="3"/>
        <v/>
      </c>
    </row>
    <row r="38" spans="2:21" ht="16.5">
      <c r="E38" s="339"/>
      <c r="F38" s="195" t="str">
        <f>IF('2.1 Absorcions arbres'!E34=0,"",'2.1 Absorcions arbres'!E34)</f>
        <v/>
      </c>
      <c r="G38" s="202" t="str">
        <f t="shared" si="6"/>
        <v/>
      </c>
      <c r="H38" s="201" t="str">
        <f>IF('2.2 Emissions restes tallada'!I41="","",'2.2 Emissions restes tallada'!I41)</f>
        <v/>
      </c>
      <c r="I38" s="116"/>
      <c r="J38" s="115" t="str">
        <f t="shared" si="0"/>
        <v>Bb&lt;2iBf-</v>
      </c>
      <c r="K38" s="116"/>
      <c r="L38" s="115" t="str">
        <f t="shared" si="1"/>
        <v>Bb&gt;2-</v>
      </c>
      <c r="M38" s="116"/>
      <c r="N38" s="109" t="str">
        <f t="shared" si="2"/>
        <v>Bt-</v>
      </c>
      <c r="O38" s="200" t="str">
        <f>IF(I38="Vida útil curta (&lt;2 anys)",((INDEX(Dades_PA!$B$45:$Y$71,(MATCH(F38,Espècies,0)),(MATCH(J38,Dades_PA!$B$44:$Y$44,0))))*H38*(Dades_PA!$B$142/100)),IF(I38="Vida útil mitjana (&lt;10 anys)",((INDEX(Dades_PA!$B$45:$Y$71,(MATCH(F38,Espècies,0)),(MATCH(J38,Dades_PA!$B$44:$Y$44,0))))*H38*(Dades_PA!$B$143/100)),IF(I38="Vida útil llarga (&gt;30 anys)",Dades_PA!$B$144,IF(I38="No s'obté producte",Dades_PA!$B$145,""))))</f>
        <v/>
      </c>
      <c r="P38" s="200" t="str">
        <f>IF(K38="Vida útil curta (&lt;2 anys)",((INDEX(Dades_PA!$B$45:$Y$71,(MATCH(F38,Espècies,0)),(MATCH(L38,Dades_PA!$B$44:$Y$44,0))))*H38*(Dades_PA!$B$142/100)),IF(K38="Vida útil mitjana (&lt;10 anys)",((INDEX(Dades_PA!$B$45:$Y$71,(MATCH(F38,Espècies,0)),(MATCH(L38,Dades_PA!$B$44:$Y$44,0))))*H38*(Dades_PA!$B$143/100)),IF(K38="Vida útil llarga (&gt;30 anys)",Dades_PA!$B$144,IF(K38="No s'obté producte",Dades_PA!$B$145,""))))</f>
        <v/>
      </c>
      <c r="Q38" s="200" t="str">
        <f>IF(M38="Vida útil curta (&lt;2 anys)",((INDEX(Dades_PA!$B$45:$Y$71,(MATCH(F38,Espècies,0)),(MATCH(N38,Dades_PA!$B$44:$Y$44,0))))*H38*(Dades_PA!$B$142/100)),IF(M38="Vida útil mitjana (&lt;10 anys)",((INDEX(Dades_PA!$B$45:$Y$71,(MATCH(F38,Espècies,0)),(MATCH(N38,Dades_PA!$B$44:$Y$44,0))))*H38*(Dades_PA!$B$143/100)),IF(M38="Vida útil llarga (&gt;30 anys)",Dades_PA!$B$144,IF(M38="No s'obté producte",Dades_PA!$B$145,""))))</f>
        <v/>
      </c>
      <c r="R38" s="130" t="str">
        <f t="shared" si="3"/>
        <v/>
      </c>
    </row>
    <row r="39" spans="2:21" ht="15" customHeight="1">
      <c r="E39" s="339"/>
      <c r="F39" s="195" t="str">
        <f>IF('2.1 Absorcions arbres'!E35=0,"",'2.1 Absorcions arbres'!E35)</f>
        <v/>
      </c>
      <c r="G39" s="202" t="str">
        <f t="shared" si="6"/>
        <v/>
      </c>
      <c r="H39" s="201" t="str">
        <f>IF('2.2 Emissions restes tallada'!I42="","",'2.2 Emissions restes tallada'!I42)</f>
        <v/>
      </c>
      <c r="I39" s="116"/>
      <c r="J39" s="115" t="str">
        <f t="shared" si="0"/>
        <v>Bb&lt;2iBf-</v>
      </c>
      <c r="K39" s="116"/>
      <c r="L39" s="115" t="str">
        <f t="shared" si="1"/>
        <v>Bb&gt;2-</v>
      </c>
      <c r="M39" s="116"/>
      <c r="N39" s="109" t="str">
        <f t="shared" si="2"/>
        <v>Bt-</v>
      </c>
      <c r="O39" s="200" t="str">
        <f>IF(I39="Vida útil curta (&lt;2 anys)",((INDEX(Dades_PA!$B$45:$Y$71,(MATCH(F39,Espècies,0)),(MATCH(J39,Dades_PA!$B$44:$Y$44,0))))*H39*(Dades_PA!$B$142/100)),IF(I39="Vida útil mitjana (&lt;10 anys)",((INDEX(Dades_PA!$B$45:$Y$71,(MATCH(F39,Espècies,0)),(MATCH(J39,Dades_PA!$B$44:$Y$44,0))))*H39*(Dades_PA!$B$143/100)),IF(I39="Vida útil llarga (&gt;30 anys)",Dades_PA!$B$144,IF(I39="No s'obté producte",Dades_PA!$B$145,""))))</f>
        <v/>
      </c>
      <c r="P39" s="200" t="str">
        <f>IF(K39="Vida útil curta (&lt;2 anys)",((INDEX(Dades_PA!$B$45:$Y$71,(MATCH(F39,Espècies,0)),(MATCH(L39,Dades_PA!$B$44:$Y$44,0))))*H39*(Dades_PA!$B$142/100)),IF(K39="Vida útil mitjana (&lt;10 anys)",((INDEX(Dades_PA!$B$45:$Y$71,(MATCH(F39,Espècies,0)),(MATCH(L39,Dades_PA!$B$44:$Y$44,0))))*H39*(Dades_PA!$B$143/100)),IF(K39="Vida útil llarga (&gt;30 anys)",Dades_PA!$B$144,IF(K39="No s'obté producte",Dades_PA!$B$145,""))))</f>
        <v/>
      </c>
      <c r="Q39" s="200" t="str">
        <f>IF(M39="Vida útil curta (&lt;2 anys)",((INDEX(Dades_PA!$B$45:$Y$71,(MATCH(F39,Espècies,0)),(MATCH(N39,Dades_PA!$B$44:$Y$44,0))))*H39*(Dades_PA!$B$142/100)),IF(M39="Vida útil mitjana (&lt;10 anys)",((INDEX(Dades_PA!$B$45:$Y$71,(MATCH(F39,Espècies,0)),(MATCH(N39,Dades_PA!$B$44:$Y$44,0))))*H39*(Dades_PA!$B$143/100)),IF(M39="Vida útil llarga (&gt;30 anys)",Dades_PA!$B$144,IF(M39="No s'obté producte",Dades_PA!$B$145,""))))</f>
        <v/>
      </c>
      <c r="R39" s="130" t="str">
        <f t="shared" si="3"/>
        <v/>
      </c>
    </row>
    <row r="40" spans="2:21" ht="16.5" customHeight="1" thickBot="1">
      <c r="E40" s="340"/>
      <c r="F40" s="196" t="str">
        <f>IF('2.1 Absorcions arbres'!E36=0,"",'2.1 Absorcions arbres'!E36)</f>
        <v/>
      </c>
      <c r="G40" s="212" t="str">
        <f t="shared" si="6"/>
        <v/>
      </c>
      <c r="H40" s="213" t="str">
        <f>IF('2.2 Emissions restes tallada'!I43="","",'2.2 Emissions restes tallada'!I43)</f>
        <v/>
      </c>
      <c r="I40" s="118"/>
      <c r="J40" s="117" t="str">
        <f t="shared" si="0"/>
        <v>Bb&lt;2iBf-</v>
      </c>
      <c r="K40" s="118"/>
      <c r="L40" s="117" t="str">
        <f t="shared" si="1"/>
        <v>Bb&gt;2-</v>
      </c>
      <c r="M40" s="118"/>
      <c r="N40" s="113" t="str">
        <f t="shared" si="2"/>
        <v>Bt-</v>
      </c>
      <c r="O40" s="214" t="str">
        <f>IF(I40="Vida útil curta (&lt;2 anys)",((INDEX(Dades_PA!$B$45:$Y$71,(MATCH(F40,Espècies,0)),(MATCH(J40,Dades_PA!$B$44:$Y$44,0))))*H40*(Dades_PA!$B$142/100)),IF(I40="Vida útil mitjana (&lt;10 anys)",((INDEX(Dades_PA!$B$45:$Y$71,(MATCH(F40,Espècies,0)),(MATCH(J40,Dades_PA!$B$44:$Y$44,0))))*H40*(Dades_PA!$B$143/100)),IF(I40="Vida útil llarga (&gt;30 anys)",Dades_PA!$B$144,IF(I40="No s'obté producte",Dades_PA!$B$145,""))))</f>
        <v/>
      </c>
      <c r="P40" s="214" t="str">
        <f>IF(K40="Vida útil curta (&lt;2 anys)",((INDEX(Dades_PA!$B$45:$Y$71,(MATCH(F40,Espècies,0)),(MATCH(L40,Dades_PA!$B$44:$Y$44,0))))*H40*(Dades_PA!$B$142/100)),IF(K40="Vida útil mitjana (&lt;10 anys)",((INDEX(Dades_PA!$B$45:$Y$71,(MATCH(F40,Espècies,0)),(MATCH(L40,Dades_PA!$B$44:$Y$44,0))))*H40*(Dades_PA!$B$143/100)),IF(K40="Vida útil llarga (&gt;30 anys)",Dades_PA!$B$144,IF(K40="No s'obté producte",Dades_PA!$B$145,""))))</f>
        <v/>
      </c>
      <c r="Q40" s="214" t="str">
        <f>IF(M40="Vida útil curta (&lt;2 anys)",((INDEX(Dades_PA!$B$45:$Y$71,(MATCH(F40,Espècies,0)),(MATCH(N40,Dades_PA!$B$44:$Y$44,0))))*H40*(Dades_PA!$B$142/100)),IF(M40="Vida útil mitjana (&lt;10 anys)",((INDEX(Dades_PA!$B$45:$Y$71,(MATCH(F40,Espècies,0)),(MATCH(N40,Dades_PA!$B$44:$Y$44,0))))*H40*(Dades_PA!$B$143/100)),IF(M40="Vida útil llarga (&gt;30 anys)",Dades_PA!$B$144,IF(M40="No s'obté producte",Dades_PA!$B$145,""))))</f>
        <v/>
      </c>
      <c r="R40" s="131" t="str">
        <f t="shared" si="3"/>
        <v/>
      </c>
    </row>
    <row r="41" spans="2:21" ht="16.5" customHeight="1">
      <c r="E41" s="338" t="str">
        <f>IF(('1. Dades generals del projecte'!D33)="","",('1. Dades generals del projecte'!D33))</f>
        <v/>
      </c>
      <c r="F41" s="194" t="str">
        <f>IF('2.1 Absorcions arbres'!E37=0,"",'2.1 Absorcions arbres'!E37)</f>
        <v/>
      </c>
      <c r="G41" s="209" t="str">
        <f>IF(('2.1 Absorcions arbres'!H37&gt;0),('2.1 Absorcions arbres'!H37),"")</f>
        <v/>
      </c>
      <c r="H41" s="210" t="str">
        <f>IF('2.2 Emissions restes tallada'!I44="","",'2.2 Emissions restes tallada'!I44)</f>
        <v/>
      </c>
      <c r="I41" s="101"/>
      <c r="J41" s="114" t="str">
        <f t="shared" si="0"/>
        <v>Bb&lt;2iBf-</v>
      </c>
      <c r="K41" s="101"/>
      <c r="L41" s="114" t="str">
        <f t="shared" si="1"/>
        <v>Bb&gt;2-</v>
      </c>
      <c r="M41" s="101"/>
      <c r="N41" s="105" t="str">
        <f t="shared" si="2"/>
        <v>Bt-</v>
      </c>
      <c r="O41" s="194" t="str">
        <f>IF(I41="Vida útil curta (&lt;2 anys)",((INDEX(Dades_PA!$B$45:$Y$71,(MATCH(F41,Espècies,0)),(MATCH(J41,Dades_PA!$B$44:$Y$44,0))))*H41*(Dades_PA!$B$142/100)),IF(I41="Vida útil mitjana (&lt;10 anys)",((INDEX(Dades_PA!$B$45:$Y$71,(MATCH(F41,Espècies,0)),(MATCH(J41,Dades_PA!$B$44:$Y$44,0))))*H41*(Dades_PA!$B$143/100)),IF(I41="Vida útil llarga (&gt;30 anys)",Dades_PA!$B$144,IF(I41="No s'obté producte",Dades_PA!$B$145,""))))</f>
        <v/>
      </c>
      <c r="P41" s="194" t="str">
        <f>IF(K41="Vida útil curta (&lt;2 anys)",((INDEX(Dades_PA!$B$45:$Y$71,(MATCH(F41,Espècies,0)),(MATCH(L41,Dades_PA!$B$44:$Y$44,0))))*H41*(Dades_PA!$B$142/100)),IF(K41="Vida útil mitjana (&lt;10 anys)",((INDEX(Dades_PA!$B$45:$Y$71,(MATCH(F41,Espècies,0)),(MATCH(L41,Dades_PA!$B$44:$Y$44,0))))*H41*(Dades_PA!$B$143/100)),IF(K41="Vida útil llarga (&gt;30 anys)",Dades_PA!$B$144,IF(K41="No s'obté producte",Dades_PA!$B$145,""))))</f>
        <v/>
      </c>
      <c r="Q41" s="194" t="str">
        <f>IF(M41="Vida útil curta (&lt;2 anys)",((INDEX(Dades_PA!$B$45:$Y$71,(MATCH(F41,Espècies,0)),(MATCH(N41,Dades_PA!$B$44:$Y$44,0))))*H41*(Dades_PA!$B$142/100)),IF(M41="Vida útil mitjana (&lt;10 anys)",((INDEX(Dades_PA!$B$45:$Y$71,(MATCH(F41,Espècies,0)),(MATCH(N41,Dades_PA!$B$44:$Y$44,0))))*H41*(Dades_PA!$B$143/100)),IF(M41="Vida útil llarga (&gt;30 anys)",Dades_PA!$B$144,IF(M41="No s'obté producte",Dades_PA!$B$145,""))))</f>
        <v/>
      </c>
      <c r="R41" s="129" t="str">
        <f t="shared" si="3"/>
        <v/>
      </c>
    </row>
    <row r="42" spans="2:21" ht="16.5" customHeight="1">
      <c r="E42" s="339"/>
      <c r="F42" s="195" t="str">
        <f>IF('2.1 Absorcions arbres'!E38=0,"",'2.1 Absorcions arbres'!E38)</f>
        <v/>
      </c>
      <c r="G42" s="202" t="str">
        <f>$G$41</f>
        <v/>
      </c>
      <c r="H42" s="201" t="str">
        <f>IF('2.2 Emissions restes tallada'!I45="","",'2.2 Emissions restes tallada'!I45)</f>
        <v/>
      </c>
      <c r="I42" s="116"/>
      <c r="J42" s="115" t="str">
        <f t="shared" si="0"/>
        <v>Bb&lt;2iBf-</v>
      </c>
      <c r="K42" s="116"/>
      <c r="L42" s="115" t="str">
        <f t="shared" si="1"/>
        <v>Bb&gt;2-</v>
      </c>
      <c r="M42" s="116"/>
      <c r="N42" s="109" t="str">
        <f t="shared" si="2"/>
        <v>Bt-</v>
      </c>
      <c r="O42" s="200" t="str">
        <f>IF(I42="Vida útil curta (&lt;2 anys)",((INDEX(Dades_PA!$B$45:$Y$71,(MATCH(F42,Espècies,0)),(MATCH(J42,Dades_PA!$B$44:$Y$44,0))))*H42*(Dades_PA!$B$142/100)),IF(I42="Vida útil mitjana (&lt;10 anys)",((INDEX(Dades_PA!$B$45:$Y$71,(MATCH(F42,Espècies,0)),(MATCH(J42,Dades_PA!$B$44:$Y$44,0))))*H42*(Dades_PA!$B$143/100)),IF(I42="Vida útil llarga (&gt;30 anys)",Dades_PA!$B$144,IF(I42="No s'obté producte",Dades_PA!$B$145,""))))</f>
        <v/>
      </c>
      <c r="P42" s="200" t="str">
        <f>IF(K42="Vida útil curta (&lt;2 anys)",((INDEX(Dades_PA!$B$45:$Y$71,(MATCH(F42,Espècies,0)),(MATCH(L42,Dades_PA!$B$44:$Y$44,0))))*H42*(Dades_PA!$B$142/100)),IF(K42="Vida útil mitjana (&lt;10 anys)",((INDEX(Dades_PA!$B$45:$Y$71,(MATCH(F42,Espècies,0)),(MATCH(L42,Dades_PA!$B$44:$Y$44,0))))*H42*(Dades_PA!$B$143/100)),IF(K42="Vida útil llarga (&gt;30 anys)",Dades_PA!$B$144,IF(K42="No s'obté producte",Dades_PA!$B$145,""))))</f>
        <v/>
      </c>
      <c r="Q42" s="200" t="str">
        <f>IF(M42="Vida útil curta (&lt;2 anys)",((INDEX(Dades_PA!$B$45:$Y$71,(MATCH(F42,Espècies,0)),(MATCH(N42,Dades_PA!$B$44:$Y$44,0))))*H42*(Dades_PA!$B$142/100)),IF(M42="Vida útil mitjana (&lt;10 anys)",((INDEX(Dades_PA!$B$45:$Y$71,(MATCH(F42,Espècies,0)),(MATCH(N42,Dades_PA!$B$44:$Y$44,0))))*H42*(Dades_PA!$B$143/100)),IF(M42="Vida útil llarga (&gt;30 anys)",Dades_PA!$B$144,IF(M42="No s'obté producte",Dades_PA!$B$145,""))))</f>
        <v/>
      </c>
      <c r="R42" s="130" t="str">
        <f t="shared" si="3"/>
        <v/>
      </c>
    </row>
    <row r="43" spans="2:21" ht="16.5" customHeight="1">
      <c r="E43" s="339"/>
      <c r="F43" s="195" t="str">
        <f>IF('2.1 Absorcions arbres'!E39=0,"",'2.1 Absorcions arbres'!E39)</f>
        <v/>
      </c>
      <c r="G43" s="202" t="str">
        <f t="shared" ref="G43:G50" si="7">$G$41</f>
        <v/>
      </c>
      <c r="H43" s="201" t="str">
        <f>IF('2.2 Emissions restes tallada'!I46="","",'2.2 Emissions restes tallada'!I46)</f>
        <v/>
      </c>
      <c r="I43" s="116"/>
      <c r="J43" s="115" t="str">
        <f t="shared" si="0"/>
        <v>Bb&lt;2iBf-</v>
      </c>
      <c r="K43" s="116"/>
      <c r="L43" s="115" t="str">
        <f t="shared" si="1"/>
        <v>Bb&gt;2-</v>
      </c>
      <c r="M43" s="116"/>
      <c r="N43" s="109" t="str">
        <f t="shared" si="2"/>
        <v>Bt-</v>
      </c>
      <c r="O43" s="200" t="str">
        <f>IF(I43="Vida útil curta (&lt;2 anys)",((INDEX(Dades_PA!$B$45:$Y$71,(MATCH(F43,Espècies,0)),(MATCH(J43,Dades_PA!$B$44:$Y$44,0))))*H43*(Dades_PA!$B$142/100)),IF(I43="Vida útil mitjana (&lt;10 anys)",((INDEX(Dades_PA!$B$45:$Y$71,(MATCH(F43,Espècies,0)),(MATCH(J43,Dades_PA!$B$44:$Y$44,0))))*H43*(Dades_PA!$B$143/100)),IF(I43="Vida útil llarga (&gt;30 anys)",Dades_PA!$B$144,IF(I43="No s'obté producte",Dades_PA!$B$145,""))))</f>
        <v/>
      </c>
      <c r="P43" s="200" t="str">
        <f>IF(K43="Vida útil curta (&lt;2 anys)",((INDEX(Dades_PA!$B$45:$Y$71,(MATCH(F43,Espècies,0)),(MATCH(L43,Dades_PA!$B$44:$Y$44,0))))*H43*(Dades_PA!$B$142/100)),IF(K43="Vida útil mitjana (&lt;10 anys)",((INDEX(Dades_PA!$B$45:$Y$71,(MATCH(F43,Espècies,0)),(MATCH(L43,Dades_PA!$B$44:$Y$44,0))))*H43*(Dades_PA!$B$143/100)),IF(K43="Vida útil llarga (&gt;30 anys)",Dades_PA!$B$144,IF(K43="No s'obté producte",Dades_PA!$B$145,""))))</f>
        <v/>
      </c>
      <c r="Q43" s="200" t="str">
        <f>IF(M43="Vida útil curta (&lt;2 anys)",((INDEX(Dades_PA!$B$45:$Y$71,(MATCH(F43,Espècies,0)),(MATCH(N43,Dades_PA!$B$44:$Y$44,0))))*H43*(Dades_PA!$B$142/100)),IF(M43="Vida útil mitjana (&lt;10 anys)",((INDEX(Dades_PA!$B$45:$Y$71,(MATCH(F43,Espècies,0)),(MATCH(N43,Dades_PA!$B$44:$Y$44,0))))*H43*(Dades_PA!$B$143/100)),IF(M43="Vida útil llarga (&gt;30 anys)",Dades_PA!$B$144,IF(M43="No s'obté producte",Dades_PA!$B$145,""))))</f>
        <v/>
      </c>
      <c r="R43" s="130" t="str">
        <f t="shared" si="3"/>
        <v/>
      </c>
    </row>
    <row r="44" spans="2:21" ht="16.5" customHeight="1">
      <c r="E44" s="339"/>
      <c r="F44" s="195" t="str">
        <f>IF('2.1 Absorcions arbres'!E40=0,"",'2.1 Absorcions arbres'!E40)</f>
        <v/>
      </c>
      <c r="G44" s="202" t="str">
        <f t="shared" si="7"/>
        <v/>
      </c>
      <c r="H44" s="201" t="str">
        <f>IF('2.2 Emissions restes tallada'!I47="","",'2.2 Emissions restes tallada'!I47)</f>
        <v/>
      </c>
      <c r="I44" s="116"/>
      <c r="J44" s="115" t="str">
        <f t="shared" si="0"/>
        <v>Bb&lt;2iBf-</v>
      </c>
      <c r="K44" s="116"/>
      <c r="L44" s="115" t="str">
        <f t="shared" si="1"/>
        <v>Bb&gt;2-</v>
      </c>
      <c r="M44" s="116"/>
      <c r="N44" s="109" t="str">
        <f t="shared" si="2"/>
        <v>Bt-</v>
      </c>
      <c r="O44" s="200" t="str">
        <f>IF(I44="Vida útil curta (&lt;2 anys)",((INDEX(Dades_PA!$B$45:$Y$71,(MATCH(F44,Espècies,0)),(MATCH(J44,Dades_PA!$B$44:$Y$44,0))))*H44*(Dades_PA!$B$142/100)),IF(I44="Vida útil mitjana (&lt;10 anys)",((INDEX(Dades_PA!$B$45:$Y$71,(MATCH(F44,Espècies,0)),(MATCH(J44,Dades_PA!$B$44:$Y$44,0))))*H44*(Dades_PA!$B$143/100)),IF(I44="Vida útil llarga (&gt;30 anys)",Dades_PA!$B$144,IF(I44="No s'obté producte",Dades_PA!$B$145,""))))</f>
        <v/>
      </c>
      <c r="P44" s="200" t="str">
        <f>IF(K44="Vida útil curta (&lt;2 anys)",((INDEX(Dades_PA!$B$45:$Y$71,(MATCH(F44,Espècies,0)),(MATCH(L44,Dades_PA!$B$44:$Y$44,0))))*H44*(Dades_PA!$B$142/100)),IF(K44="Vida útil mitjana (&lt;10 anys)",((INDEX(Dades_PA!$B$45:$Y$71,(MATCH(F44,Espècies,0)),(MATCH(L44,Dades_PA!$B$44:$Y$44,0))))*H44*(Dades_PA!$B$143/100)),IF(K44="Vida útil llarga (&gt;30 anys)",Dades_PA!$B$144,IF(K44="No s'obté producte",Dades_PA!$B$145,""))))</f>
        <v/>
      </c>
      <c r="Q44" s="200" t="str">
        <f>IF(M44="Vida útil curta (&lt;2 anys)",((INDEX(Dades_PA!$B$45:$Y$71,(MATCH(F44,Espècies,0)),(MATCH(N44,Dades_PA!$B$44:$Y$44,0))))*H44*(Dades_PA!$B$142/100)),IF(M44="Vida útil mitjana (&lt;10 anys)",((INDEX(Dades_PA!$B$45:$Y$71,(MATCH(F44,Espècies,0)),(MATCH(N44,Dades_PA!$B$44:$Y$44,0))))*H44*(Dades_PA!$B$143/100)),IF(M44="Vida útil llarga (&gt;30 anys)",Dades_PA!$B$144,IF(M44="No s'obté producte",Dades_PA!$B$145,""))))</f>
        <v/>
      </c>
      <c r="R44" s="130" t="str">
        <f t="shared" si="3"/>
        <v/>
      </c>
    </row>
    <row r="45" spans="2:21" ht="16.5" customHeight="1">
      <c r="E45" s="339"/>
      <c r="F45" s="195" t="str">
        <f>IF('2.1 Absorcions arbres'!E41=0,"",'2.1 Absorcions arbres'!E41)</f>
        <v/>
      </c>
      <c r="G45" s="202" t="str">
        <f t="shared" si="7"/>
        <v/>
      </c>
      <c r="H45" s="201" t="str">
        <f>IF('2.2 Emissions restes tallada'!I48="","",'2.2 Emissions restes tallada'!I48)</f>
        <v/>
      </c>
      <c r="I45" s="116"/>
      <c r="J45" s="115" t="str">
        <f t="shared" si="0"/>
        <v>Bb&lt;2iBf-</v>
      </c>
      <c r="K45" s="116"/>
      <c r="L45" s="115" t="str">
        <f t="shared" si="1"/>
        <v>Bb&gt;2-</v>
      </c>
      <c r="M45" s="116"/>
      <c r="N45" s="109" t="str">
        <f t="shared" si="2"/>
        <v>Bt-</v>
      </c>
      <c r="O45" s="200" t="str">
        <f>IF(I45="Vida útil curta (&lt;2 anys)",((INDEX(Dades_PA!$B$45:$Y$71,(MATCH(F45,Espècies,0)),(MATCH(J45,Dades_PA!$B$44:$Y$44,0))))*H45*(Dades_PA!$B$142/100)),IF(I45="Vida útil mitjana (&lt;10 anys)",((INDEX(Dades_PA!$B$45:$Y$71,(MATCH(F45,Espècies,0)),(MATCH(J45,Dades_PA!$B$44:$Y$44,0))))*H45*(Dades_PA!$B$143/100)),IF(I45="Vida útil llarga (&gt;30 anys)",Dades_PA!$B$144,IF(I45="No s'obté producte",Dades_PA!$B$145,""))))</f>
        <v/>
      </c>
      <c r="P45" s="200" t="str">
        <f>IF(K45="Vida útil curta (&lt;2 anys)",((INDEX(Dades_PA!$B$45:$Y$71,(MATCH(F45,Espècies,0)),(MATCH(L45,Dades_PA!$B$44:$Y$44,0))))*H45*(Dades_PA!$B$142/100)),IF(K45="Vida útil mitjana (&lt;10 anys)",((INDEX(Dades_PA!$B$45:$Y$71,(MATCH(F45,Espècies,0)),(MATCH(L45,Dades_PA!$B$44:$Y$44,0))))*H45*(Dades_PA!$B$143/100)),IF(K45="Vida útil llarga (&gt;30 anys)",Dades_PA!$B$144,IF(K45="No s'obté producte",Dades_PA!$B$145,""))))</f>
        <v/>
      </c>
      <c r="Q45" s="200" t="str">
        <f>IF(M45="Vida útil curta (&lt;2 anys)",((INDEX(Dades_PA!$B$45:$Y$71,(MATCH(F45,Espècies,0)),(MATCH(N45,Dades_PA!$B$44:$Y$44,0))))*H45*(Dades_PA!$B$142/100)),IF(M45="Vida útil mitjana (&lt;10 anys)",((INDEX(Dades_PA!$B$45:$Y$71,(MATCH(F45,Espècies,0)),(MATCH(N45,Dades_PA!$B$44:$Y$44,0))))*H45*(Dades_PA!$B$143/100)),IF(M45="Vida útil llarga (&gt;30 anys)",Dades_PA!$B$144,IF(M45="No s'obté producte",Dades_PA!$B$145,""))))</f>
        <v/>
      </c>
      <c r="R45" s="130" t="str">
        <f t="shared" si="3"/>
        <v/>
      </c>
    </row>
    <row r="46" spans="2:21" ht="16.5" customHeight="1">
      <c r="E46" s="339"/>
      <c r="F46" s="195" t="str">
        <f>IF('2.1 Absorcions arbres'!E42=0,"",'2.1 Absorcions arbres'!E42)</f>
        <v/>
      </c>
      <c r="G46" s="202" t="str">
        <f t="shared" si="7"/>
        <v/>
      </c>
      <c r="H46" s="201" t="str">
        <f>IF('2.2 Emissions restes tallada'!I49="","",'2.2 Emissions restes tallada'!I49)</f>
        <v/>
      </c>
      <c r="I46" s="116"/>
      <c r="J46" s="115" t="str">
        <f t="shared" si="0"/>
        <v>Bb&lt;2iBf-</v>
      </c>
      <c r="K46" s="116"/>
      <c r="L46" s="115" t="str">
        <f t="shared" si="1"/>
        <v>Bb&gt;2-</v>
      </c>
      <c r="M46" s="116"/>
      <c r="N46" s="109" t="str">
        <f t="shared" si="2"/>
        <v>Bt-</v>
      </c>
      <c r="O46" s="200" t="str">
        <f>IF(I46="Vida útil curta (&lt;2 anys)",((INDEX(Dades_PA!$B$45:$Y$71,(MATCH(F46,Espècies,0)),(MATCH(J46,Dades_PA!$B$44:$Y$44,0))))*H46*(Dades_PA!$B$142/100)),IF(I46="Vida útil mitjana (&lt;10 anys)",((INDEX(Dades_PA!$B$45:$Y$71,(MATCH(F46,Espècies,0)),(MATCH(J46,Dades_PA!$B$44:$Y$44,0))))*H46*(Dades_PA!$B$143/100)),IF(I46="Vida útil llarga (&gt;30 anys)",Dades_PA!$B$144,IF(I46="No s'obté producte",Dades_PA!$B$145,""))))</f>
        <v/>
      </c>
      <c r="P46" s="200" t="str">
        <f>IF(K46="Vida útil curta (&lt;2 anys)",((INDEX(Dades_PA!$B$45:$Y$71,(MATCH(F46,Espècies,0)),(MATCH(L46,Dades_PA!$B$44:$Y$44,0))))*H46*(Dades_PA!$B$142/100)),IF(K46="Vida útil mitjana (&lt;10 anys)",((INDEX(Dades_PA!$B$45:$Y$71,(MATCH(F46,Espècies,0)),(MATCH(L46,Dades_PA!$B$44:$Y$44,0))))*H46*(Dades_PA!$B$143/100)),IF(K46="Vida útil llarga (&gt;30 anys)",Dades_PA!$B$144,IF(K46="No s'obté producte",Dades_PA!$B$145,""))))</f>
        <v/>
      </c>
      <c r="Q46" s="200" t="str">
        <f>IF(M46="Vida útil curta (&lt;2 anys)",((INDEX(Dades_PA!$B$45:$Y$71,(MATCH(F46,Espècies,0)),(MATCH(N46,Dades_PA!$B$44:$Y$44,0))))*H46*(Dades_PA!$B$142/100)),IF(M46="Vida útil mitjana (&lt;10 anys)",((INDEX(Dades_PA!$B$45:$Y$71,(MATCH(F46,Espècies,0)),(MATCH(N46,Dades_PA!$B$44:$Y$44,0))))*H46*(Dades_PA!$B$143/100)),IF(M46="Vida útil llarga (&gt;30 anys)",Dades_PA!$B$144,IF(M46="No s'obté producte",Dades_PA!$B$145,""))))</f>
        <v/>
      </c>
      <c r="R46" s="130" t="str">
        <f t="shared" si="3"/>
        <v/>
      </c>
    </row>
    <row r="47" spans="2:21" ht="15" customHeight="1">
      <c r="E47" s="339"/>
      <c r="F47" s="195" t="str">
        <f>IF('2.1 Absorcions arbres'!E43=0,"",'2.1 Absorcions arbres'!E43)</f>
        <v/>
      </c>
      <c r="G47" s="202" t="str">
        <f t="shared" si="7"/>
        <v/>
      </c>
      <c r="H47" s="201" t="str">
        <f>IF('2.2 Emissions restes tallada'!I50="","",'2.2 Emissions restes tallada'!I50)</f>
        <v/>
      </c>
      <c r="I47" s="116"/>
      <c r="J47" s="115" t="str">
        <f t="shared" si="0"/>
        <v>Bb&lt;2iBf-</v>
      </c>
      <c r="K47" s="116"/>
      <c r="L47" s="115" t="str">
        <f t="shared" si="1"/>
        <v>Bb&gt;2-</v>
      </c>
      <c r="M47" s="116"/>
      <c r="N47" s="109" t="str">
        <f t="shared" si="2"/>
        <v>Bt-</v>
      </c>
      <c r="O47" s="200" t="str">
        <f>IF(I47="Vida útil curta (&lt;2 anys)",((INDEX(Dades_PA!$B$45:$Y$71,(MATCH(F47,Espècies,0)),(MATCH(J47,Dades_PA!$B$44:$Y$44,0))))*H47*(Dades_PA!$B$142/100)),IF(I47="Vida útil mitjana (&lt;10 anys)",((INDEX(Dades_PA!$B$45:$Y$71,(MATCH(F47,Espècies,0)),(MATCH(J47,Dades_PA!$B$44:$Y$44,0))))*H47*(Dades_PA!$B$143/100)),IF(I47="Vida útil llarga (&gt;30 anys)",Dades_PA!$B$144,IF(I47="No s'obté producte",Dades_PA!$B$145,""))))</f>
        <v/>
      </c>
      <c r="P47" s="200" t="str">
        <f>IF(K47="Vida útil curta (&lt;2 anys)",((INDEX(Dades_PA!$B$45:$Y$71,(MATCH(F47,Espècies,0)),(MATCH(L47,Dades_PA!$B$44:$Y$44,0))))*H47*(Dades_PA!$B$142/100)),IF(K47="Vida útil mitjana (&lt;10 anys)",((INDEX(Dades_PA!$B$45:$Y$71,(MATCH(F47,Espècies,0)),(MATCH(L47,Dades_PA!$B$44:$Y$44,0))))*H47*(Dades_PA!$B$143/100)),IF(K47="Vida útil llarga (&gt;30 anys)",Dades_PA!$B$144,IF(K47="No s'obté producte",Dades_PA!$B$145,""))))</f>
        <v/>
      </c>
      <c r="Q47" s="200" t="str">
        <f>IF(M47="Vida útil curta (&lt;2 anys)",((INDEX(Dades_PA!$B$45:$Y$71,(MATCH(F47,Espècies,0)),(MATCH(N47,Dades_PA!$B$44:$Y$44,0))))*H47*(Dades_PA!$B$142/100)),IF(M47="Vida útil mitjana (&lt;10 anys)",((INDEX(Dades_PA!$B$45:$Y$71,(MATCH(F47,Espècies,0)),(MATCH(N47,Dades_PA!$B$44:$Y$44,0))))*H47*(Dades_PA!$B$143/100)),IF(M47="Vida útil llarga (&gt;30 anys)",Dades_PA!$B$144,IF(M47="No s'obté producte",Dades_PA!$B$145,""))))</f>
        <v/>
      </c>
      <c r="R47" s="130" t="str">
        <f t="shared" si="3"/>
        <v/>
      </c>
    </row>
    <row r="48" spans="2:21" ht="16.5" customHeight="1">
      <c r="E48" s="339"/>
      <c r="F48" s="195" t="str">
        <f>IF('2.1 Absorcions arbres'!E44=0,"",'2.1 Absorcions arbres'!E44)</f>
        <v/>
      </c>
      <c r="G48" s="202" t="str">
        <f t="shared" si="7"/>
        <v/>
      </c>
      <c r="H48" s="201" t="str">
        <f>IF('2.2 Emissions restes tallada'!I51="","",'2.2 Emissions restes tallada'!I51)</f>
        <v/>
      </c>
      <c r="I48" s="116"/>
      <c r="J48" s="115" t="str">
        <f t="shared" si="0"/>
        <v>Bb&lt;2iBf-</v>
      </c>
      <c r="K48" s="116"/>
      <c r="L48" s="115" t="str">
        <f t="shared" si="1"/>
        <v>Bb&gt;2-</v>
      </c>
      <c r="M48" s="116"/>
      <c r="N48" s="109" t="str">
        <f t="shared" si="2"/>
        <v>Bt-</v>
      </c>
      <c r="O48" s="200" t="str">
        <f>IF(I48="Vida útil curta (&lt;2 anys)",((INDEX(Dades_PA!$B$45:$Y$71,(MATCH(F48,Espècies,0)),(MATCH(J48,Dades_PA!$B$44:$Y$44,0))))*H48*(Dades_PA!$B$142/100)),IF(I48="Vida útil mitjana (&lt;10 anys)",((INDEX(Dades_PA!$B$45:$Y$71,(MATCH(F48,Espècies,0)),(MATCH(J48,Dades_PA!$B$44:$Y$44,0))))*H48*(Dades_PA!$B$143/100)),IF(I48="Vida útil llarga (&gt;30 anys)",Dades_PA!$B$144,IF(I48="No s'obté producte",Dades_PA!$B$145,""))))</f>
        <v/>
      </c>
      <c r="P48" s="200" t="str">
        <f>IF(K48="Vida útil curta (&lt;2 anys)",((INDEX(Dades_PA!$B$45:$Y$71,(MATCH(F48,Espècies,0)),(MATCH(L48,Dades_PA!$B$44:$Y$44,0))))*H48*(Dades_PA!$B$142/100)),IF(K48="Vida útil mitjana (&lt;10 anys)",((INDEX(Dades_PA!$B$45:$Y$71,(MATCH(F48,Espècies,0)),(MATCH(L48,Dades_PA!$B$44:$Y$44,0))))*H48*(Dades_PA!$B$143/100)),IF(K48="Vida útil llarga (&gt;30 anys)",Dades_PA!$B$144,IF(K48="No s'obté producte",Dades_PA!$B$145,""))))</f>
        <v/>
      </c>
      <c r="Q48" s="200" t="str">
        <f>IF(M48="Vida útil curta (&lt;2 anys)",((INDEX(Dades_PA!$B$45:$Y$71,(MATCH(F48,Espècies,0)),(MATCH(N48,Dades_PA!$B$44:$Y$44,0))))*H48*(Dades_PA!$B$142/100)),IF(M48="Vida útil mitjana (&lt;10 anys)",((INDEX(Dades_PA!$B$45:$Y$71,(MATCH(F48,Espècies,0)),(MATCH(N48,Dades_PA!$B$44:$Y$44,0))))*H48*(Dades_PA!$B$143/100)),IF(M48="Vida útil llarga (&gt;30 anys)",Dades_PA!$B$144,IF(M48="No s'obté producte",Dades_PA!$B$145,""))))</f>
        <v/>
      </c>
      <c r="R48" s="130" t="str">
        <f t="shared" si="3"/>
        <v/>
      </c>
    </row>
    <row r="49" spans="5:18" ht="15" customHeight="1">
      <c r="E49" s="339"/>
      <c r="F49" s="195" t="str">
        <f>IF('2.1 Absorcions arbres'!E45=0,"",'2.1 Absorcions arbres'!E45)</f>
        <v/>
      </c>
      <c r="G49" s="202" t="str">
        <f t="shared" si="7"/>
        <v/>
      </c>
      <c r="H49" s="201" t="str">
        <f>IF('2.2 Emissions restes tallada'!I52="","",'2.2 Emissions restes tallada'!I52)</f>
        <v/>
      </c>
      <c r="I49" s="116"/>
      <c r="J49" s="115" t="str">
        <f t="shared" si="0"/>
        <v>Bb&lt;2iBf-</v>
      </c>
      <c r="K49" s="116"/>
      <c r="L49" s="115" t="str">
        <f t="shared" si="1"/>
        <v>Bb&gt;2-</v>
      </c>
      <c r="M49" s="116"/>
      <c r="N49" s="109" t="str">
        <f t="shared" si="2"/>
        <v>Bt-</v>
      </c>
      <c r="O49" s="200" t="str">
        <f>IF(I49="Vida útil curta (&lt;2 anys)",((INDEX(Dades_PA!$B$45:$Y$71,(MATCH(F49,Espècies,0)),(MATCH(J49,Dades_PA!$B$44:$Y$44,0))))*H49*(Dades_PA!$B$142/100)),IF(I49="Vida útil mitjana (&lt;10 anys)",((INDEX(Dades_PA!$B$45:$Y$71,(MATCH(F49,Espècies,0)),(MATCH(J49,Dades_PA!$B$44:$Y$44,0))))*H49*(Dades_PA!$B$143/100)),IF(I49="Vida útil llarga (&gt;30 anys)",Dades_PA!$B$144,IF(I49="No s'obté producte",Dades_PA!$B$145,""))))</f>
        <v/>
      </c>
      <c r="P49" s="200" t="str">
        <f>IF(K49="Vida útil curta (&lt;2 anys)",((INDEX(Dades_PA!$B$45:$Y$71,(MATCH(F49,Espècies,0)),(MATCH(L49,Dades_PA!$B$44:$Y$44,0))))*H49*(Dades_PA!$B$142/100)),IF(K49="Vida útil mitjana (&lt;10 anys)",((INDEX(Dades_PA!$B$45:$Y$71,(MATCH(F49,Espècies,0)),(MATCH(L49,Dades_PA!$B$44:$Y$44,0))))*H49*(Dades_PA!$B$143/100)),IF(K49="Vida útil llarga (&gt;30 anys)",Dades_PA!$B$144,IF(K49="No s'obté producte",Dades_PA!$B$145,""))))</f>
        <v/>
      </c>
      <c r="Q49" s="200" t="str">
        <f>IF(M49="Vida útil curta (&lt;2 anys)",((INDEX(Dades_PA!$B$45:$Y$71,(MATCH(F49,Espècies,0)),(MATCH(N49,Dades_PA!$B$44:$Y$44,0))))*H49*(Dades_PA!$B$142/100)),IF(M49="Vida útil mitjana (&lt;10 anys)",((INDEX(Dades_PA!$B$45:$Y$71,(MATCH(F49,Espècies,0)),(MATCH(N49,Dades_PA!$B$44:$Y$44,0))))*H49*(Dades_PA!$B$143/100)),IF(M49="Vida útil llarga (&gt;30 anys)",Dades_PA!$B$144,IF(M49="No s'obté producte",Dades_PA!$B$145,""))))</f>
        <v/>
      </c>
      <c r="R49" s="130" t="str">
        <f t="shared" si="3"/>
        <v/>
      </c>
    </row>
    <row r="50" spans="5:18" ht="16.5" customHeight="1" thickBot="1">
      <c r="E50" s="340"/>
      <c r="F50" s="196" t="str">
        <f>IF('2.1 Absorcions arbres'!E46=0,"",'2.1 Absorcions arbres'!E46)</f>
        <v/>
      </c>
      <c r="G50" s="212" t="str">
        <f t="shared" si="7"/>
        <v/>
      </c>
      <c r="H50" s="213" t="str">
        <f>IF('2.2 Emissions restes tallada'!I53="","",'2.2 Emissions restes tallada'!I53)</f>
        <v/>
      </c>
      <c r="I50" s="118"/>
      <c r="J50" s="117" t="str">
        <f t="shared" si="0"/>
        <v>Bb&lt;2iBf-</v>
      </c>
      <c r="K50" s="118"/>
      <c r="L50" s="117" t="str">
        <f t="shared" si="1"/>
        <v>Bb&gt;2-</v>
      </c>
      <c r="M50" s="118"/>
      <c r="N50" s="113" t="str">
        <f t="shared" si="2"/>
        <v>Bt-</v>
      </c>
      <c r="O50" s="214" t="str">
        <f>IF(I50="Vida útil curta (&lt;2 anys)",((INDEX(Dades_PA!$B$45:$Y$71,(MATCH(F50,Espècies,0)),(MATCH(J50,Dades_PA!$B$44:$Y$44,0))))*H50*(Dades_PA!$B$142/100)),IF(I50="Vida útil mitjana (&lt;10 anys)",((INDEX(Dades_PA!$B$45:$Y$71,(MATCH(F50,Espècies,0)),(MATCH(J50,Dades_PA!$B$44:$Y$44,0))))*H50*(Dades_PA!$B$143/100)),IF(I50="Vida útil llarga (&gt;30 anys)",Dades_PA!$B$144,IF(I50="No s'obté producte",Dades_PA!$B$145,""))))</f>
        <v/>
      </c>
      <c r="P50" s="214" t="str">
        <f>IF(K50="Vida útil curta (&lt;2 anys)",((INDEX(Dades_PA!$B$45:$Y$71,(MATCH(F50,Espècies,0)),(MATCH(L50,Dades_PA!$B$44:$Y$44,0))))*H50*(Dades_PA!$B$142/100)),IF(K50="Vida útil mitjana (&lt;10 anys)",((INDEX(Dades_PA!$B$45:$Y$71,(MATCH(F50,Espècies,0)),(MATCH(L50,Dades_PA!$B$44:$Y$44,0))))*H50*(Dades_PA!$B$143/100)),IF(K50="Vida útil llarga (&gt;30 anys)",Dades_PA!$B$144,IF(K50="No s'obté producte",Dades_PA!$B$145,""))))</f>
        <v/>
      </c>
      <c r="Q50" s="214" t="str">
        <f>IF(M50="Vida útil curta (&lt;2 anys)",((INDEX(Dades_PA!$B$45:$Y$71,(MATCH(F50,Espècies,0)),(MATCH(N50,Dades_PA!$B$44:$Y$44,0))))*H50*(Dades_PA!$B$142/100)),IF(M50="Vida útil mitjana (&lt;10 anys)",((INDEX(Dades_PA!$B$45:$Y$71,(MATCH(F50,Espècies,0)),(MATCH(N50,Dades_PA!$B$44:$Y$44,0))))*H50*(Dades_PA!$B$143/100)),IF(M50="Vida útil llarga (&gt;30 anys)",Dades_PA!$B$144,IF(M50="No s'obté producte",Dades_PA!$B$145,""))))</f>
        <v/>
      </c>
      <c r="R50" s="131" t="str">
        <f t="shared" si="3"/>
        <v/>
      </c>
    </row>
    <row r="51" spans="5:18" ht="16.5" customHeight="1">
      <c r="E51" s="338" t="str">
        <f>IF(('1. Dades generals del projecte'!D34)="","",('1. Dades generals del projecte'!D34))</f>
        <v/>
      </c>
      <c r="F51" s="194" t="str">
        <f>IF('2.1 Absorcions arbres'!E47=0,"",'2.1 Absorcions arbres'!E47)</f>
        <v/>
      </c>
      <c r="G51" s="209" t="str">
        <f>IF(('2.1 Absorcions arbres'!H47&gt;0),('2.1 Absorcions arbres'!H47),"")</f>
        <v/>
      </c>
      <c r="H51" s="210" t="str">
        <f>IF('2.2 Emissions restes tallada'!I54="","",'2.2 Emissions restes tallada'!I54)</f>
        <v/>
      </c>
      <c r="I51" s="101"/>
      <c r="J51" s="114" t="str">
        <f t="shared" si="0"/>
        <v>Bb&lt;2iBf-</v>
      </c>
      <c r="K51" s="101"/>
      <c r="L51" s="114" t="str">
        <f t="shared" si="1"/>
        <v>Bb&gt;2-</v>
      </c>
      <c r="M51" s="101"/>
      <c r="N51" s="105" t="str">
        <f t="shared" si="2"/>
        <v>Bt-</v>
      </c>
      <c r="O51" s="194" t="str">
        <f>IF(I51="Vida útil curta (&lt;2 anys)",((INDEX(Dades_PA!$B$45:$Y$71,(MATCH(F51,Espècies,0)),(MATCH(J51,Dades_PA!$B$44:$Y$44,0))))*H51*(Dades_PA!$B$142/100)),IF(I51="Vida útil mitjana (&lt;10 anys)",((INDEX(Dades_PA!$B$45:$Y$71,(MATCH(F51,Espècies,0)),(MATCH(J51,Dades_PA!$B$44:$Y$44,0))))*H51*(Dades_PA!$B$143/100)),IF(I51="Vida útil llarga (&gt;30 anys)",Dades_PA!$B$144,IF(I51="No s'obté producte",Dades_PA!$B$145,""))))</f>
        <v/>
      </c>
      <c r="P51" s="194" t="str">
        <f>IF(K51="Vida útil curta (&lt;2 anys)",((INDEX(Dades_PA!$B$45:$Y$71,(MATCH(F51,Espècies,0)),(MATCH(L51,Dades_PA!$B$44:$Y$44,0))))*H51*(Dades_PA!$B$142/100)),IF(K51="Vida útil mitjana (&lt;10 anys)",((INDEX(Dades_PA!$B$45:$Y$71,(MATCH(F51,Espècies,0)),(MATCH(L51,Dades_PA!$B$44:$Y$44,0))))*H51*(Dades_PA!$B$143/100)),IF(K51="Vida útil llarga (&gt;30 anys)",Dades_PA!$B$144,IF(K51="No s'obté producte",Dades_PA!$B$145,""))))</f>
        <v/>
      </c>
      <c r="Q51" s="194" t="str">
        <f>IF(M51="Vida útil curta (&lt;2 anys)",((INDEX(Dades_PA!$B$45:$Y$71,(MATCH(F51,Espècies,0)),(MATCH(N51,Dades_PA!$B$44:$Y$44,0))))*H51*(Dades_PA!$B$142/100)),IF(M51="Vida útil mitjana (&lt;10 anys)",((INDEX(Dades_PA!$B$45:$Y$71,(MATCH(F51,Espècies,0)),(MATCH(N51,Dades_PA!$B$44:$Y$44,0))))*H51*(Dades_PA!$B$143/100)),IF(M51="Vida útil llarga (&gt;30 anys)",Dades_PA!$B$144,IF(M51="No s'obté producte",Dades_PA!$B$145,""))))</f>
        <v/>
      </c>
      <c r="R51" s="129" t="str">
        <f t="shared" si="3"/>
        <v/>
      </c>
    </row>
    <row r="52" spans="5:18" ht="15" customHeight="1">
      <c r="E52" s="339"/>
      <c r="F52" s="195" t="str">
        <f>IF('2.1 Absorcions arbres'!E48=0,"",'2.1 Absorcions arbres'!E48)</f>
        <v/>
      </c>
      <c r="G52" s="202" t="str">
        <f>$G$51</f>
        <v/>
      </c>
      <c r="H52" s="201" t="str">
        <f>IF('2.2 Emissions restes tallada'!I55="","",'2.2 Emissions restes tallada'!I55)</f>
        <v/>
      </c>
      <c r="I52" s="116"/>
      <c r="J52" s="115" t="str">
        <f t="shared" si="0"/>
        <v>Bb&lt;2iBf-</v>
      </c>
      <c r="K52" s="116"/>
      <c r="L52" s="115" t="str">
        <f t="shared" si="1"/>
        <v>Bb&gt;2-</v>
      </c>
      <c r="M52" s="116"/>
      <c r="N52" s="109" t="str">
        <f t="shared" si="2"/>
        <v>Bt-</v>
      </c>
      <c r="O52" s="200" t="str">
        <f>IF(I52="Vida útil curta (&lt;2 anys)",((INDEX(Dades_PA!$B$45:$Y$71,(MATCH(F52,Espècies,0)),(MATCH(J52,Dades_PA!$B$44:$Y$44,0))))*H52*(Dades_PA!$B$142/100)),IF(I52="Vida útil mitjana (&lt;10 anys)",((INDEX(Dades_PA!$B$45:$Y$71,(MATCH(F52,Espècies,0)),(MATCH(J52,Dades_PA!$B$44:$Y$44,0))))*H52*(Dades_PA!$B$143/100)),IF(I52="Vida útil llarga (&gt;30 anys)",Dades_PA!$B$144,IF(I52="No s'obté producte",Dades_PA!$B$145,""))))</f>
        <v/>
      </c>
      <c r="P52" s="200" t="str">
        <f>IF(K52="Vida útil curta (&lt;2 anys)",((INDEX(Dades_PA!$B$45:$Y$71,(MATCH(F52,Espècies,0)),(MATCH(L52,Dades_PA!$B$44:$Y$44,0))))*H52*(Dades_PA!$B$142/100)),IF(K52="Vida útil mitjana (&lt;10 anys)",((INDEX(Dades_PA!$B$45:$Y$71,(MATCH(F52,Espècies,0)),(MATCH(L52,Dades_PA!$B$44:$Y$44,0))))*H52*(Dades_PA!$B$143/100)),IF(K52="Vida útil llarga (&gt;30 anys)",Dades_PA!$B$144,IF(K52="No s'obté producte",Dades_PA!$B$145,""))))</f>
        <v/>
      </c>
      <c r="Q52" s="200" t="str">
        <f>IF(M52="Vida útil curta (&lt;2 anys)",((INDEX(Dades_PA!$B$45:$Y$71,(MATCH(F52,Espècies,0)),(MATCH(N52,Dades_PA!$B$44:$Y$44,0))))*H52*(Dades_PA!$B$142/100)),IF(M52="Vida útil mitjana (&lt;10 anys)",((INDEX(Dades_PA!$B$45:$Y$71,(MATCH(F52,Espècies,0)),(MATCH(N52,Dades_PA!$B$44:$Y$44,0))))*H52*(Dades_PA!$B$143/100)),IF(M52="Vida útil llarga (&gt;30 anys)",Dades_PA!$B$144,IF(M52="No s'obté producte",Dades_PA!$B$145,""))))</f>
        <v/>
      </c>
      <c r="R52" s="130" t="str">
        <f t="shared" si="3"/>
        <v/>
      </c>
    </row>
    <row r="53" spans="5:18" ht="16.5" customHeight="1">
      <c r="E53" s="339"/>
      <c r="F53" s="195" t="str">
        <f>IF('2.1 Absorcions arbres'!E49=0,"",'2.1 Absorcions arbres'!E49)</f>
        <v/>
      </c>
      <c r="G53" s="202" t="str">
        <f t="shared" ref="G53:G60" si="8">$G$51</f>
        <v/>
      </c>
      <c r="H53" s="201" t="str">
        <f>IF('2.2 Emissions restes tallada'!I56="","",'2.2 Emissions restes tallada'!I56)</f>
        <v/>
      </c>
      <c r="I53" s="116"/>
      <c r="J53" s="115" t="str">
        <f t="shared" si="0"/>
        <v>Bb&lt;2iBf-</v>
      </c>
      <c r="K53" s="116"/>
      <c r="L53" s="115" t="str">
        <f t="shared" si="1"/>
        <v>Bb&gt;2-</v>
      </c>
      <c r="M53" s="116"/>
      <c r="N53" s="109" t="str">
        <f t="shared" si="2"/>
        <v>Bt-</v>
      </c>
      <c r="O53" s="200" t="str">
        <f>IF(I53="Vida útil curta (&lt;2 anys)",((INDEX(Dades_PA!$B$45:$Y$71,(MATCH(F53,Espècies,0)),(MATCH(J53,Dades_PA!$B$44:$Y$44,0))))*H53*(Dades_PA!$B$142/100)),IF(I53="Vida útil mitjana (&lt;10 anys)",((INDEX(Dades_PA!$B$45:$Y$71,(MATCH(F53,Espècies,0)),(MATCH(J53,Dades_PA!$B$44:$Y$44,0))))*H53*(Dades_PA!$B$143/100)),IF(I53="Vida útil llarga (&gt;30 anys)",Dades_PA!$B$144,IF(I53="No s'obté producte",Dades_PA!$B$145,""))))</f>
        <v/>
      </c>
      <c r="P53" s="200" t="str">
        <f>IF(K53="Vida útil curta (&lt;2 anys)",((INDEX(Dades_PA!$B$45:$Y$71,(MATCH(F53,Espècies,0)),(MATCH(L53,Dades_PA!$B$44:$Y$44,0))))*H53*(Dades_PA!$B$142/100)),IF(K53="Vida útil mitjana (&lt;10 anys)",((INDEX(Dades_PA!$B$45:$Y$71,(MATCH(F53,Espècies,0)),(MATCH(L53,Dades_PA!$B$44:$Y$44,0))))*H53*(Dades_PA!$B$143/100)),IF(K53="Vida útil llarga (&gt;30 anys)",Dades_PA!$B$144,IF(K53="No s'obté producte",Dades_PA!$B$145,""))))</f>
        <v/>
      </c>
      <c r="Q53" s="200" t="str">
        <f>IF(M53="Vida útil curta (&lt;2 anys)",((INDEX(Dades_PA!$B$45:$Y$71,(MATCH(F53,Espècies,0)),(MATCH(N53,Dades_PA!$B$44:$Y$44,0))))*H53*(Dades_PA!$B$142/100)),IF(M53="Vida útil mitjana (&lt;10 anys)",((INDEX(Dades_PA!$B$45:$Y$71,(MATCH(F53,Espècies,0)),(MATCH(N53,Dades_PA!$B$44:$Y$44,0))))*H53*(Dades_PA!$B$143/100)),IF(M53="Vida útil llarga (&gt;30 anys)",Dades_PA!$B$144,IF(M53="No s'obté producte",Dades_PA!$B$145,""))))</f>
        <v/>
      </c>
      <c r="R53" s="130" t="str">
        <f t="shared" si="3"/>
        <v/>
      </c>
    </row>
    <row r="54" spans="5:18" ht="16.5" customHeight="1">
      <c r="E54" s="339"/>
      <c r="F54" s="195" t="str">
        <f>IF('2.1 Absorcions arbres'!E50=0,"",'2.1 Absorcions arbres'!E50)</f>
        <v/>
      </c>
      <c r="G54" s="202" t="str">
        <f t="shared" si="8"/>
        <v/>
      </c>
      <c r="H54" s="201" t="str">
        <f>IF('2.2 Emissions restes tallada'!I57="","",'2.2 Emissions restes tallada'!I57)</f>
        <v/>
      </c>
      <c r="I54" s="116"/>
      <c r="J54" s="115" t="str">
        <f t="shared" si="0"/>
        <v>Bb&lt;2iBf-</v>
      </c>
      <c r="K54" s="116"/>
      <c r="L54" s="115" t="str">
        <f t="shared" si="1"/>
        <v>Bb&gt;2-</v>
      </c>
      <c r="M54" s="116"/>
      <c r="N54" s="109" t="str">
        <f t="shared" si="2"/>
        <v>Bt-</v>
      </c>
      <c r="O54" s="200" t="str">
        <f>IF(I54="Vida útil curta (&lt;2 anys)",((INDEX(Dades_PA!$B$45:$Y$71,(MATCH(F54,Espècies,0)),(MATCH(J54,Dades_PA!$B$44:$Y$44,0))))*H54*(Dades_PA!$B$142/100)),IF(I54="Vida útil mitjana (&lt;10 anys)",((INDEX(Dades_PA!$B$45:$Y$71,(MATCH(F54,Espècies,0)),(MATCH(J54,Dades_PA!$B$44:$Y$44,0))))*H54*(Dades_PA!$B$143/100)),IF(I54="Vida útil llarga (&gt;30 anys)",Dades_PA!$B$144,IF(I54="No s'obté producte",Dades_PA!$B$145,""))))</f>
        <v/>
      </c>
      <c r="P54" s="200" t="str">
        <f>IF(K54="Vida útil curta (&lt;2 anys)",((INDEX(Dades_PA!$B$45:$Y$71,(MATCH(F54,Espècies,0)),(MATCH(L54,Dades_PA!$B$44:$Y$44,0))))*H54*(Dades_PA!$B$142/100)),IF(K54="Vida útil mitjana (&lt;10 anys)",((INDEX(Dades_PA!$B$45:$Y$71,(MATCH(F54,Espècies,0)),(MATCH(L54,Dades_PA!$B$44:$Y$44,0))))*H54*(Dades_PA!$B$143/100)),IF(K54="Vida útil llarga (&gt;30 anys)",Dades_PA!$B$144,IF(K54="No s'obté producte",Dades_PA!$B$145,""))))</f>
        <v/>
      </c>
      <c r="Q54" s="200" t="str">
        <f>IF(M54="Vida útil curta (&lt;2 anys)",((INDEX(Dades_PA!$B$45:$Y$71,(MATCH(F54,Espècies,0)),(MATCH(N54,Dades_PA!$B$44:$Y$44,0))))*H54*(Dades_PA!$B$142/100)),IF(M54="Vida útil mitjana (&lt;10 anys)",((INDEX(Dades_PA!$B$45:$Y$71,(MATCH(F54,Espècies,0)),(MATCH(N54,Dades_PA!$B$44:$Y$44,0))))*H54*(Dades_PA!$B$143/100)),IF(M54="Vida útil llarga (&gt;30 anys)",Dades_PA!$B$144,IF(M54="No s'obté producte",Dades_PA!$B$145,""))))</f>
        <v/>
      </c>
      <c r="R54" s="130" t="str">
        <f t="shared" si="3"/>
        <v/>
      </c>
    </row>
    <row r="55" spans="5:18" ht="16.5" customHeight="1">
      <c r="E55" s="339"/>
      <c r="F55" s="195" t="str">
        <f>IF('2.1 Absorcions arbres'!E51=0,"",'2.1 Absorcions arbres'!E51)</f>
        <v/>
      </c>
      <c r="G55" s="202" t="str">
        <f t="shared" si="8"/>
        <v/>
      </c>
      <c r="H55" s="201" t="str">
        <f>IF('2.2 Emissions restes tallada'!I58="","",'2.2 Emissions restes tallada'!I58)</f>
        <v/>
      </c>
      <c r="I55" s="116"/>
      <c r="J55" s="115" t="str">
        <f t="shared" si="0"/>
        <v>Bb&lt;2iBf-</v>
      </c>
      <c r="K55" s="116"/>
      <c r="L55" s="115" t="str">
        <f t="shared" si="1"/>
        <v>Bb&gt;2-</v>
      </c>
      <c r="M55" s="116"/>
      <c r="N55" s="109" t="str">
        <f t="shared" si="2"/>
        <v>Bt-</v>
      </c>
      <c r="O55" s="200" t="str">
        <f>IF(I55="Vida útil curta (&lt;2 anys)",((INDEX(Dades_PA!$B$45:$Y$71,(MATCH(F55,Espècies,0)),(MATCH(J55,Dades_PA!$B$44:$Y$44,0))))*H55*(Dades_PA!$B$142/100)),IF(I55="Vida útil mitjana (&lt;10 anys)",((INDEX(Dades_PA!$B$45:$Y$71,(MATCH(F55,Espècies,0)),(MATCH(J55,Dades_PA!$B$44:$Y$44,0))))*H55*(Dades_PA!$B$143/100)),IF(I55="Vida útil llarga (&gt;30 anys)",Dades_PA!$B$144,IF(I55="No s'obté producte",Dades_PA!$B$145,""))))</f>
        <v/>
      </c>
      <c r="P55" s="200" t="str">
        <f>IF(K55="Vida útil curta (&lt;2 anys)",((INDEX(Dades_PA!$B$45:$Y$71,(MATCH(F55,Espècies,0)),(MATCH(L55,Dades_PA!$B$44:$Y$44,0))))*H55*(Dades_PA!$B$142/100)),IF(K55="Vida útil mitjana (&lt;10 anys)",((INDEX(Dades_PA!$B$45:$Y$71,(MATCH(F55,Espècies,0)),(MATCH(L55,Dades_PA!$B$44:$Y$44,0))))*H55*(Dades_PA!$B$143/100)),IF(K55="Vida útil llarga (&gt;30 anys)",Dades_PA!$B$144,IF(K55="No s'obté producte",Dades_PA!$B$145,""))))</f>
        <v/>
      </c>
      <c r="Q55" s="200" t="str">
        <f>IF(M55="Vida útil curta (&lt;2 anys)",((INDEX(Dades_PA!$B$45:$Y$71,(MATCH(F55,Espècies,0)),(MATCH(N55,Dades_PA!$B$44:$Y$44,0))))*H55*(Dades_PA!$B$142/100)),IF(M55="Vida útil mitjana (&lt;10 anys)",((INDEX(Dades_PA!$B$45:$Y$71,(MATCH(F55,Espècies,0)),(MATCH(N55,Dades_PA!$B$44:$Y$44,0))))*H55*(Dades_PA!$B$143/100)),IF(M55="Vida útil llarga (&gt;30 anys)",Dades_PA!$B$144,IF(M55="No s'obté producte",Dades_PA!$B$145,""))))</f>
        <v/>
      </c>
      <c r="R55" s="130" t="str">
        <f t="shared" si="3"/>
        <v/>
      </c>
    </row>
    <row r="56" spans="5:18" ht="16.5" customHeight="1">
      <c r="E56" s="339"/>
      <c r="F56" s="195" t="str">
        <f>IF('2.1 Absorcions arbres'!E52=0,"",'2.1 Absorcions arbres'!E52)</f>
        <v/>
      </c>
      <c r="G56" s="202" t="str">
        <f t="shared" si="8"/>
        <v/>
      </c>
      <c r="H56" s="201" t="str">
        <f>IF('2.2 Emissions restes tallada'!I59="","",'2.2 Emissions restes tallada'!I59)</f>
        <v/>
      </c>
      <c r="I56" s="116"/>
      <c r="J56" s="115" t="str">
        <f t="shared" si="0"/>
        <v>Bb&lt;2iBf-</v>
      </c>
      <c r="K56" s="116"/>
      <c r="L56" s="115" t="str">
        <f t="shared" si="1"/>
        <v>Bb&gt;2-</v>
      </c>
      <c r="M56" s="116"/>
      <c r="N56" s="109" t="str">
        <f t="shared" si="2"/>
        <v>Bt-</v>
      </c>
      <c r="O56" s="200" t="str">
        <f>IF(I56="Vida útil curta (&lt;2 anys)",((INDEX(Dades_PA!$B$45:$Y$71,(MATCH(F56,Espècies,0)),(MATCH(J56,Dades_PA!$B$44:$Y$44,0))))*H56*(Dades_PA!$B$142/100)),IF(I56="Vida útil mitjana (&lt;10 anys)",((INDEX(Dades_PA!$B$45:$Y$71,(MATCH(F56,Espècies,0)),(MATCH(J56,Dades_PA!$B$44:$Y$44,0))))*H56*(Dades_PA!$B$143/100)),IF(I56="Vida útil llarga (&gt;30 anys)",Dades_PA!$B$144,IF(I56="No s'obté producte",Dades_PA!$B$145,""))))</f>
        <v/>
      </c>
      <c r="P56" s="200" t="str">
        <f>IF(K56="Vida útil curta (&lt;2 anys)",((INDEX(Dades_PA!$B$45:$Y$71,(MATCH(F56,Espècies,0)),(MATCH(L56,Dades_PA!$B$44:$Y$44,0))))*H56*(Dades_PA!$B$142/100)),IF(K56="Vida útil mitjana (&lt;10 anys)",((INDEX(Dades_PA!$B$45:$Y$71,(MATCH(F56,Espècies,0)),(MATCH(L56,Dades_PA!$B$44:$Y$44,0))))*H56*(Dades_PA!$B$143/100)),IF(K56="Vida útil llarga (&gt;30 anys)",Dades_PA!$B$144,IF(K56="No s'obté producte",Dades_PA!$B$145,""))))</f>
        <v/>
      </c>
      <c r="Q56" s="200" t="str">
        <f>IF(M56="Vida útil curta (&lt;2 anys)",((INDEX(Dades_PA!$B$45:$Y$71,(MATCH(F56,Espècies,0)),(MATCH(N56,Dades_PA!$B$44:$Y$44,0))))*H56*(Dades_PA!$B$142/100)),IF(M56="Vida útil mitjana (&lt;10 anys)",((INDEX(Dades_PA!$B$45:$Y$71,(MATCH(F56,Espècies,0)),(MATCH(N56,Dades_PA!$B$44:$Y$44,0))))*H56*(Dades_PA!$B$143/100)),IF(M56="Vida útil llarga (&gt;30 anys)",Dades_PA!$B$144,IF(M56="No s'obté producte",Dades_PA!$B$145,""))))</f>
        <v/>
      </c>
      <c r="R56" s="130" t="str">
        <f t="shared" si="3"/>
        <v/>
      </c>
    </row>
    <row r="57" spans="5:18" ht="16.5" customHeight="1">
      <c r="E57" s="339"/>
      <c r="F57" s="195" t="str">
        <f>IF('2.1 Absorcions arbres'!E53=0,"",'2.1 Absorcions arbres'!E53)</f>
        <v/>
      </c>
      <c r="G57" s="202" t="str">
        <f t="shared" si="8"/>
        <v/>
      </c>
      <c r="H57" s="201" t="str">
        <f>IF('2.2 Emissions restes tallada'!I60="","",'2.2 Emissions restes tallada'!I60)</f>
        <v/>
      </c>
      <c r="I57" s="116"/>
      <c r="J57" s="115" t="str">
        <f t="shared" si="0"/>
        <v>Bb&lt;2iBf-</v>
      </c>
      <c r="K57" s="116"/>
      <c r="L57" s="115" t="str">
        <f t="shared" si="1"/>
        <v>Bb&gt;2-</v>
      </c>
      <c r="M57" s="116"/>
      <c r="N57" s="109" t="str">
        <f t="shared" si="2"/>
        <v>Bt-</v>
      </c>
      <c r="O57" s="200" t="str">
        <f>IF(I57="Vida útil curta (&lt;2 anys)",((INDEX(Dades_PA!$B$45:$Y$71,(MATCH(F57,Espècies,0)),(MATCH(J57,Dades_PA!$B$44:$Y$44,0))))*H57*(Dades_PA!$B$142/100)),IF(I57="Vida útil mitjana (&lt;10 anys)",((INDEX(Dades_PA!$B$45:$Y$71,(MATCH(F57,Espècies,0)),(MATCH(J57,Dades_PA!$B$44:$Y$44,0))))*H57*(Dades_PA!$B$143/100)),IF(I57="Vida útil llarga (&gt;30 anys)",Dades_PA!$B$144,IF(I57="No s'obté producte",Dades_PA!$B$145,""))))</f>
        <v/>
      </c>
      <c r="P57" s="200" t="str">
        <f>IF(K57="Vida útil curta (&lt;2 anys)",((INDEX(Dades_PA!$B$45:$Y$71,(MATCH(F57,Espècies,0)),(MATCH(L57,Dades_PA!$B$44:$Y$44,0))))*H57*(Dades_PA!$B$142/100)),IF(K57="Vida útil mitjana (&lt;10 anys)",((INDEX(Dades_PA!$B$45:$Y$71,(MATCH(F57,Espècies,0)),(MATCH(L57,Dades_PA!$B$44:$Y$44,0))))*H57*(Dades_PA!$B$143/100)),IF(K57="Vida útil llarga (&gt;30 anys)",Dades_PA!$B$144,IF(K57="No s'obté producte",Dades_PA!$B$145,""))))</f>
        <v/>
      </c>
      <c r="Q57" s="200" t="str">
        <f>IF(M57="Vida útil curta (&lt;2 anys)",((INDEX(Dades_PA!$B$45:$Y$71,(MATCH(F57,Espècies,0)),(MATCH(N57,Dades_PA!$B$44:$Y$44,0))))*H57*(Dades_PA!$B$142/100)),IF(M57="Vida útil mitjana (&lt;10 anys)",((INDEX(Dades_PA!$B$45:$Y$71,(MATCH(F57,Espècies,0)),(MATCH(N57,Dades_PA!$B$44:$Y$44,0))))*H57*(Dades_PA!$B$143/100)),IF(M57="Vida útil llarga (&gt;30 anys)",Dades_PA!$B$144,IF(M57="No s'obté producte",Dades_PA!$B$145,""))))</f>
        <v/>
      </c>
      <c r="R57" s="130" t="str">
        <f t="shared" si="3"/>
        <v/>
      </c>
    </row>
    <row r="58" spans="5:18" ht="16.5" customHeight="1">
      <c r="E58" s="339"/>
      <c r="F58" s="195" t="str">
        <f>IF('2.1 Absorcions arbres'!E54=0,"",'2.1 Absorcions arbres'!E54)</f>
        <v/>
      </c>
      <c r="G58" s="202" t="str">
        <f t="shared" si="8"/>
        <v/>
      </c>
      <c r="H58" s="201" t="str">
        <f>IF('2.2 Emissions restes tallada'!I61="","",'2.2 Emissions restes tallada'!I61)</f>
        <v/>
      </c>
      <c r="I58" s="116"/>
      <c r="J58" s="115" t="str">
        <f t="shared" si="0"/>
        <v>Bb&lt;2iBf-</v>
      </c>
      <c r="K58" s="116"/>
      <c r="L58" s="115" t="str">
        <f t="shared" si="1"/>
        <v>Bb&gt;2-</v>
      </c>
      <c r="M58" s="116"/>
      <c r="N58" s="109" t="str">
        <f t="shared" si="2"/>
        <v>Bt-</v>
      </c>
      <c r="O58" s="200" t="str">
        <f>IF(I58="Vida útil curta (&lt;2 anys)",((INDEX(Dades_PA!$B$45:$Y$71,(MATCH(F58,Espècies,0)),(MATCH(J58,Dades_PA!$B$44:$Y$44,0))))*H58*(Dades_PA!$B$142/100)),IF(I58="Vida útil mitjana (&lt;10 anys)",((INDEX(Dades_PA!$B$45:$Y$71,(MATCH(F58,Espècies,0)),(MATCH(J58,Dades_PA!$B$44:$Y$44,0))))*H58*(Dades_PA!$B$143/100)),IF(I58="Vida útil llarga (&gt;30 anys)",Dades_PA!$B$144,IF(I58="No s'obté producte",Dades_PA!$B$145,""))))</f>
        <v/>
      </c>
      <c r="P58" s="200" t="str">
        <f>IF(K58="Vida útil curta (&lt;2 anys)",((INDEX(Dades_PA!$B$45:$Y$71,(MATCH(F58,Espècies,0)),(MATCH(L58,Dades_PA!$B$44:$Y$44,0))))*H58*(Dades_PA!$B$142/100)),IF(K58="Vida útil mitjana (&lt;10 anys)",((INDEX(Dades_PA!$B$45:$Y$71,(MATCH(F58,Espècies,0)),(MATCH(L58,Dades_PA!$B$44:$Y$44,0))))*H58*(Dades_PA!$B$143/100)),IF(K58="Vida útil llarga (&gt;30 anys)",Dades_PA!$B$144,IF(K58="No s'obté producte",Dades_PA!$B$145,""))))</f>
        <v/>
      </c>
      <c r="Q58" s="200" t="str">
        <f>IF(M58="Vida útil curta (&lt;2 anys)",((INDEX(Dades_PA!$B$45:$Y$71,(MATCH(F58,Espècies,0)),(MATCH(N58,Dades_PA!$B$44:$Y$44,0))))*H58*(Dades_PA!$B$142/100)),IF(M58="Vida útil mitjana (&lt;10 anys)",((INDEX(Dades_PA!$B$45:$Y$71,(MATCH(F58,Espècies,0)),(MATCH(N58,Dades_PA!$B$44:$Y$44,0))))*H58*(Dades_PA!$B$143/100)),IF(M58="Vida útil llarga (&gt;30 anys)",Dades_PA!$B$144,IF(M58="No s'obté producte",Dades_PA!$B$145,""))))</f>
        <v/>
      </c>
      <c r="R58" s="130" t="str">
        <f t="shared" si="3"/>
        <v/>
      </c>
    </row>
    <row r="59" spans="5:18" ht="16.5" customHeight="1">
      <c r="E59" s="339"/>
      <c r="F59" s="195" t="str">
        <f>IF('2.1 Absorcions arbres'!E55=0,"",'2.1 Absorcions arbres'!E55)</f>
        <v/>
      </c>
      <c r="G59" s="202" t="str">
        <f t="shared" si="8"/>
        <v/>
      </c>
      <c r="H59" s="201" t="str">
        <f>IF('2.2 Emissions restes tallada'!I62="","",'2.2 Emissions restes tallada'!I62)</f>
        <v/>
      </c>
      <c r="I59" s="116"/>
      <c r="J59" s="115" t="str">
        <f t="shared" si="0"/>
        <v>Bb&lt;2iBf-</v>
      </c>
      <c r="K59" s="116"/>
      <c r="L59" s="115" t="str">
        <f t="shared" si="1"/>
        <v>Bb&gt;2-</v>
      </c>
      <c r="M59" s="116"/>
      <c r="N59" s="109" t="str">
        <f t="shared" si="2"/>
        <v>Bt-</v>
      </c>
      <c r="O59" s="200" t="str">
        <f>IF(I59="Vida útil curta (&lt;2 anys)",((INDEX(Dades_PA!$B$45:$Y$71,(MATCH(F59,Espècies,0)),(MATCH(J59,Dades_PA!$B$44:$Y$44,0))))*H59*(Dades_PA!$B$142/100)),IF(I59="Vida útil mitjana (&lt;10 anys)",((INDEX(Dades_PA!$B$45:$Y$71,(MATCH(F59,Espècies,0)),(MATCH(J59,Dades_PA!$B$44:$Y$44,0))))*H59*(Dades_PA!$B$143/100)),IF(I59="Vida útil llarga (&gt;30 anys)",Dades_PA!$B$144,IF(I59="No s'obté producte",Dades_PA!$B$145,""))))</f>
        <v/>
      </c>
      <c r="P59" s="200" t="str">
        <f>IF(K59="Vida útil curta (&lt;2 anys)",((INDEX(Dades_PA!$B$45:$Y$71,(MATCH(F59,Espècies,0)),(MATCH(L59,Dades_PA!$B$44:$Y$44,0))))*H59*(Dades_PA!$B$142/100)),IF(K59="Vida útil mitjana (&lt;10 anys)",((INDEX(Dades_PA!$B$45:$Y$71,(MATCH(F59,Espècies,0)),(MATCH(L59,Dades_PA!$B$44:$Y$44,0))))*H59*(Dades_PA!$B$143/100)),IF(K59="Vida útil llarga (&gt;30 anys)",Dades_PA!$B$144,IF(K59="No s'obté producte",Dades_PA!$B$145,""))))</f>
        <v/>
      </c>
      <c r="Q59" s="200" t="str">
        <f>IF(M59="Vida útil curta (&lt;2 anys)",((INDEX(Dades_PA!$B$45:$Y$71,(MATCH(F59,Espècies,0)),(MATCH(N59,Dades_PA!$B$44:$Y$44,0))))*H59*(Dades_PA!$B$142/100)),IF(M59="Vida útil mitjana (&lt;10 anys)",((INDEX(Dades_PA!$B$45:$Y$71,(MATCH(F59,Espècies,0)),(MATCH(N59,Dades_PA!$B$44:$Y$44,0))))*H59*(Dades_PA!$B$143/100)),IF(M59="Vida útil llarga (&gt;30 anys)",Dades_PA!$B$144,IF(M59="No s'obté producte",Dades_PA!$B$145,""))))</f>
        <v/>
      </c>
      <c r="R59" s="130" t="str">
        <f t="shared" si="3"/>
        <v/>
      </c>
    </row>
    <row r="60" spans="5:18" ht="16.5" customHeight="1" thickBot="1">
      <c r="E60" s="340"/>
      <c r="F60" s="196" t="str">
        <f>IF('2.1 Absorcions arbres'!E56=0,"",'2.1 Absorcions arbres'!E56)</f>
        <v/>
      </c>
      <c r="G60" s="212" t="str">
        <f t="shared" si="8"/>
        <v/>
      </c>
      <c r="H60" s="213" t="str">
        <f>IF('2.2 Emissions restes tallada'!I63="","",'2.2 Emissions restes tallada'!I63)</f>
        <v/>
      </c>
      <c r="I60" s="118"/>
      <c r="J60" s="117" t="str">
        <f t="shared" si="0"/>
        <v>Bb&lt;2iBf-</v>
      </c>
      <c r="K60" s="118"/>
      <c r="L60" s="117" t="str">
        <f t="shared" si="1"/>
        <v>Bb&gt;2-</v>
      </c>
      <c r="M60" s="118"/>
      <c r="N60" s="113" t="str">
        <f t="shared" si="2"/>
        <v>Bt-</v>
      </c>
      <c r="O60" s="214" t="str">
        <f>IF(I60="Vida útil curta (&lt;2 anys)",((INDEX(Dades_PA!$B$45:$Y$71,(MATCH(F60,Espècies,0)),(MATCH(J60,Dades_PA!$B$44:$Y$44,0))))*H60*(Dades_PA!$B$142/100)),IF(I60="Vida útil mitjana (&lt;10 anys)",((INDEX(Dades_PA!$B$45:$Y$71,(MATCH(F60,Espècies,0)),(MATCH(J60,Dades_PA!$B$44:$Y$44,0))))*H60*(Dades_PA!$B$143/100)),IF(I60="Vida útil llarga (&gt;30 anys)",Dades_PA!$B$144,IF(I60="No s'obté producte",Dades_PA!$B$145,""))))</f>
        <v/>
      </c>
      <c r="P60" s="214" t="str">
        <f>IF(K60="Vida útil curta (&lt;2 anys)",((INDEX(Dades_PA!$B$45:$Y$71,(MATCH(F60,Espècies,0)),(MATCH(L60,Dades_PA!$B$44:$Y$44,0))))*H60*(Dades_PA!$B$142/100)),IF(K60="Vida útil mitjana (&lt;10 anys)",((INDEX(Dades_PA!$B$45:$Y$71,(MATCH(F60,Espècies,0)),(MATCH(L60,Dades_PA!$B$44:$Y$44,0))))*H60*(Dades_PA!$B$143/100)),IF(K60="Vida útil llarga (&gt;30 anys)",Dades_PA!$B$144,IF(K60="No s'obté producte",Dades_PA!$B$145,""))))</f>
        <v/>
      </c>
      <c r="Q60" s="214" t="str">
        <f>IF(M60="Vida útil curta (&lt;2 anys)",((INDEX(Dades_PA!$B$45:$Y$71,(MATCH(F60,Espècies,0)),(MATCH(N60,Dades_PA!$B$44:$Y$44,0))))*H60*(Dades_PA!$B$142/100)),IF(M60="Vida útil mitjana (&lt;10 anys)",((INDEX(Dades_PA!$B$45:$Y$71,(MATCH(F60,Espècies,0)),(MATCH(N60,Dades_PA!$B$44:$Y$44,0))))*H60*(Dades_PA!$B$143/100)),IF(M60="Vida útil llarga (&gt;30 anys)",Dades_PA!$B$144,IF(M60="No s'obté producte",Dades_PA!$B$145,""))))</f>
        <v/>
      </c>
      <c r="R60" s="131" t="str">
        <f t="shared" si="3"/>
        <v/>
      </c>
    </row>
    <row r="61" spans="5:18" ht="16.5" customHeight="1" thickBot="1">
      <c r="E61" s="132" t="s">
        <v>15</v>
      </c>
      <c r="F61" s="133" t="s">
        <v>14</v>
      </c>
      <c r="G61" s="133" t="s">
        <v>14</v>
      </c>
      <c r="H61" s="134">
        <f>SUM(H11:H60)</f>
        <v>0</v>
      </c>
      <c r="I61" s="133" t="s">
        <v>14</v>
      </c>
      <c r="J61" s="133"/>
      <c r="K61" s="133" t="s">
        <v>14</v>
      </c>
      <c r="L61" s="133"/>
      <c r="M61" s="133" t="s">
        <v>14</v>
      </c>
      <c r="N61" s="133"/>
      <c r="O61" s="135">
        <f>SUM(O11:O60)</f>
        <v>0</v>
      </c>
      <c r="P61" s="135">
        <f t="shared" ref="P61:R61" si="9">SUM(P11:P60)</f>
        <v>0</v>
      </c>
      <c r="Q61" s="135">
        <f t="shared" si="9"/>
        <v>0</v>
      </c>
      <c r="R61" s="217">
        <f t="shared" si="9"/>
        <v>0</v>
      </c>
    </row>
    <row r="62" spans="5:18" ht="16.5" customHeight="1"/>
    <row r="63" spans="5:18" ht="16.5" customHeight="1">
      <c r="E63" s="359" t="s">
        <v>264</v>
      </c>
      <c r="F63" s="360"/>
      <c r="G63" s="360"/>
      <c r="H63" s="360"/>
      <c r="I63" s="360"/>
      <c r="J63" s="360"/>
      <c r="K63" s="360"/>
      <c r="L63" s="360"/>
      <c r="M63" s="360"/>
      <c r="N63" s="360"/>
      <c r="O63" s="360"/>
      <c r="P63" s="360"/>
      <c r="Q63" s="360"/>
      <c r="R63" s="361"/>
    </row>
    <row r="64" spans="5:18">
      <c r="E64" s="362"/>
      <c r="F64" s="363"/>
      <c r="G64" s="363"/>
      <c r="H64" s="363"/>
      <c r="I64" s="363"/>
      <c r="J64" s="363"/>
      <c r="K64" s="363"/>
      <c r="L64" s="363"/>
      <c r="M64" s="363"/>
      <c r="N64" s="363"/>
      <c r="O64" s="363"/>
      <c r="P64" s="363"/>
      <c r="Q64" s="363"/>
      <c r="R64" s="364"/>
    </row>
    <row r="65" spans="5:18">
      <c r="E65" s="365"/>
      <c r="F65" s="366"/>
      <c r="G65" s="366"/>
      <c r="H65" s="366"/>
      <c r="I65" s="366"/>
      <c r="J65" s="366"/>
      <c r="K65" s="366"/>
      <c r="L65" s="366"/>
      <c r="M65" s="366"/>
      <c r="N65" s="366"/>
      <c r="O65" s="366"/>
      <c r="P65" s="366"/>
      <c r="Q65" s="366"/>
      <c r="R65" s="367"/>
    </row>
    <row r="110" ht="15" customHeight="1"/>
  </sheetData>
  <sheetProtection sheet="1" objects="1" scenarios="1"/>
  <mergeCells count="22">
    <mergeCell ref="O9:O10"/>
    <mergeCell ref="P9:P10"/>
    <mergeCell ref="Q9:Q10"/>
    <mergeCell ref="J9:J10"/>
    <mergeCell ref="L9:L10"/>
    <mergeCell ref="N9:N10"/>
    <mergeCell ref="E63:R65"/>
    <mergeCell ref="C1:S1"/>
    <mergeCell ref="E31:E40"/>
    <mergeCell ref="E41:E50"/>
    <mergeCell ref="E51:E60"/>
    <mergeCell ref="H9:H10"/>
    <mergeCell ref="G9:G10"/>
    <mergeCell ref="R9:R10"/>
    <mergeCell ref="E11:E20"/>
    <mergeCell ref="E21:E30"/>
    <mergeCell ref="F9:F10"/>
    <mergeCell ref="E9:E10"/>
    <mergeCell ref="E3:R8"/>
    <mergeCell ref="I9:I10"/>
    <mergeCell ref="K9:K10"/>
    <mergeCell ref="M9:M10"/>
  </mergeCells>
  <dataValidations count="2">
    <dataValidation allowBlank="1" showInputMessage="1" showErrorMessage="1" error="Any incorrecte" sqref="G11:G60"/>
    <dataValidation type="list" allowBlank="1" showInputMessage="1" showErrorMessage="1" sqref="I11:I60 M11:M60 K11:K60">
      <formula1>Producte</formula1>
    </dataValidation>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sheetPr codeName="Hoja11">
    <pageSetUpPr autoPageBreaks="0" fitToPage="1"/>
  </sheetPr>
  <dimension ref="A1:AMN55"/>
  <sheetViews>
    <sheetView zoomScale="85" zoomScaleNormal="85" workbookViewId="0">
      <pane xSplit="1" topLeftCell="B1" activePane="topRight" state="frozen"/>
      <selection activeCell="A52" sqref="A52"/>
      <selection pane="topRight" activeCell="P34" sqref="P34"/>
    </sheetView>
  </sheetViews>
  <sheetFormatPr baseColWidth="10" defaultColWidth="11.42578125" defaultRowHeight="16.5"/>
  <cols>
    <col min="1" max="1" width="55.7109375" style="2" customWidth="1"/>
    <col min="2" max="2" width="1.85546875" style="2" customWidth="1"/>
    <col min="3" max="3" width="2.140625" style="1" customWidth="1"/>
    <col min="4" max="4" width="1.28515625" style="1" customWidth="1"/>
    <col min="5" max="5" width="17.85546875" style="1" customWidth="1"/>
    <col min="6" max="6" width="11.85546875" style="1" customWidth="1"/>
    <col min="7" max="7" width="15" style="1" customWidth="1"/>
    <col min="8" max="8" width="16.85546875" style="14" customWidth="1"/>
    <col min="9" max="9" width="11.42578125" style="14" customWidth="1"/>
    <col min="10" max="10" width="8.7109375" style="14" customWidth="1"/>
    <col min="11" max="11" width="4" style="14" customWidth="1"/>
    <col min="12" max="12" width="5.140625" style="14" customWidth="1"/>
    <col min="13" max="13" width="15.5703125" style="14" customWidth="1"/>
    <col min="14" max="14" width="18.5703125" style="14" customWidth="1"/>
    <col min="15" max="15" width="17" style="14" customWidth="1"/>
    <col min="16" max="16" width="17.42578125" style="14" customWidth="1"/>
    <col min="17" max="17" width="9.85546875" style="14" customWidth="1"/>
    <col min="18" max="18" width="7.140625" style="1" customWidth="1"/>
    <col min="19" max="19" width="26.7109375" style="1" customWidth="1"/>
    <col min="20" max="20" width="8.85546875" style="1" customWidth="1"/>
    <col min="21" max="21" width="8.28515625" style="1" customWidth="1"/>
    <col min="22" max="22" width="21" style="1" customWidth="1"/>
    <col min="23" max="23" width="4" style="1" customWidth="1"/>
    <col min="24" max="24" width="3.140625" style="1" customWidth="1"/>
    <col min="25" max="25" width="1.85546875" style="13" customWidth="1"/>
    <col min="26" max="27" width="11.42578125" style="13"/>
    <col min="28" max="28" width="0" style="13" hidden="1" customWidth="1"/>
    <col min="29" max="35" width="11.42578125" style="13"/>
    <col min="36" max="1028" width="11.42578125" style="1"/>
  </cols>
  <sheetData>
    <row r="1" spans="1:24" s="6" customFormat="1" ht="40.700000000000003" customHeight="1">
      <c r="A1" s="2"/>
      <c r="B1" s="3"/>
      <c r="C1" s="382" t="s">
        <v>170</v>
      </c>
      <c r="D1" s="382"/>
      <c r="E1" s="382"/>
      <c r="F1" s="382"/>
      <c r="G1" s="382"/>
      <c r="H1" s="382"/>
      <c r="I1" s="382"/>
      <c r="J1" s="382"/>
      <c r="K1" s="382"/>
      <c r="L1" s="382"/>
      <c r="M1" s="382"/>
      <c r="N1" s="382"/>
      <c r="O1" s="382"/>
      <c r="P1" s="382"/>
      <c r="Q1" s="382"/>
      <c r="R1" s="382"/>
      <c r="S1" s="382"/>
      <c r="T1" s="382"/>
      <c r="U1" s="382"/>
      <c r="V1" s="382"/>
      <c r="W1" s="382"/>
      <c r="X1" s="382"/>
    </row>
    <row r="2" spans="1:24" s="6" customFormat="1" ht="40.700000000000003" customHeight="1">
      <c r="A2" s="2"/>
      <c r="B2" s="3"/>
      <c r="R2" s="7"/>
      <c r="S2" s="7"/>
      <c r="T2" s="7"/>
      <c r="U2" s="7"/>
      <c r="V2" s="7"/>
      <c r="W2" s="7"/>
    </row>
    <row r="3" spans="1:24" s="6" customFormat="1" ht="15.75" customHeight="1">
      <c r="A3" s="5"/>
      <c r="B3" s="4"/>
      <c r="E3" s="411" t="s">
        <v>177</v>
      </c>
      <c r="F3" s="411"/>
      <c r="G3" s="411"/>
      <c r="H3" s="415" t="str">
        <f>IF('1. Dades generals del projecte'!G20="","",'1. Dades generals del projecte'!G20)</f>
        <v/>
      </c>
      <c r="I3" s="415"/>
      <c r="J3" s="415"/>
      <c r="K3" s="415"/>
      <c r="L3" s="415"/>
      <c r="M3" s="415"/>
      <c r="N3" s="415"/>
      <c r="O3" s="415"/>
      <c r="P3" s="415"/>
      <c r="Q3" s="415"/>
      <c r="R3" s="415"/>
      <c r="S3" s="415"/>
      <c r="T3" s="415"/>
      <c r="U3" s="415"/>
      <c r="V3" s="415"/>
    </row>
    <row r="4" spans="1:24" s="6" customFormat="1" ht="15.75" customHeight="1">
      <c r="A4" s="166" t="s">
        <v>171</v>
      </c>
      <c r="B4" s="4"/>
      <c r="E4" s="83"/>
      <c r="F4" s="83"/>
      <c r="G4" s="83"/>
      <c r="H4" s="84"/>
      <c r="I4" s="82"/>
      <c r="J4" s="82"/>
      <c r="K4" s="82"/>
      <c r="L4" s="82"/>
      <c r="M4" s="82"/>
      <c r="N4" s="82"/>
      <c r="O4" s="82"/>
      <c r="P4" s="82"/>
      <c r="Q4" s="84"/>
      <c r="R4" s="85"/>
      <c r="S4" s="85"/>
      <c r="T4" s="84"/>
      <c r="U4" s="82"/>
      <c r="V4" s="82"/>
    </row>
    <row r="5" spans="1:24" s="6" customFormat="1" ht="15.75" customHeight="1">
      <c r="A5" s="166" t="s">
        <v>172</v>
      </c>
      <c r="B5" s="4"/>
      <c r="E5" s="411" t="s">
        <v>176</v>
      </c>
      <c r="F5" s="411"/>
      <c r="G5" s="411"/>
      <c r="H5" s="416" t="str">
        <f>IF('1. Dades generals del projecte'!D23="","",'1. Dades generals del projecte'!D23)</f>
        <v/>
      </c>
      <c r="I5" s="416"/>
      <c r="J5" s="416"/>
      <c r="K5" s="416"/>
      <c r="L5" s="416"/>
      <c r="M5" s="416"/>
      <c r="N5" s="416"/>
      <c r="O5" s="416"/>
      <c r="P5" s="416"/>
      <c r="Q5" s="416"/>
      <c r="R5" s="85"/>
      <c r="S5" s="147" t="s">
        <v>178</v>
      </c>
      <c r="T5" s="414" t="str">
        <f>IF('1. Dades generals del projecte'!K23="","",'1. Dades generals del projecte'!K23)</f>
        <v/>
      </c>
      <c r="U5" s="414"/>
      <c r="V5" s="414"/>
    </row>
    <row r="6" spans="1:24" s="6" customFormat="1" ht="15.75" customHeight="1">
      <c r="A6" s="166" t="s">
        <v>219</v>
      </c>
      <c r="B6" s="4"/>
      <c r="E6" s="15"/>
      <c r="F6" s="15"/>
      <c r="G6" s="16"/>
      <c r="H6" s="11"/>
      <c r="I6" s="11"/>
      <c r="J6" s="11"/>
      <c r="K6" s="89"/>
      <c r="L6" s="89"/>
      <c r="M6" s="11"/>
      <c r="N6" s="11"/>
      <c r="O6" s="11"/>
      <c r="P6" s="11"/>
      <c r="Q6" s="11"/>
      <c r="R6" s="90"/>
      <c r="S6" s="11"/>
      <c r="T6" s="11"/>
      <c r="U6" s="11"/>
      <c r="V6" s="11"/>
      <c r="W6" s="11"/>
    </row>
    <row r="7" spans="1:24" s="6" customFormat="1" ht="15.75" customHeight="1">
      <c r="A7" s="166" t="s">
        <v>173</v>
      </c>
      <c r="B7" s="4"/>
      <c r="E7" s="411" t="s">
        <v>10</v>
      </c>
      <c r="F7" s="411"/>
      <c r="G7" s="411"/>
      <c r="H7" s="417" t="str">
        <f>IF('1. Dades generals del projecte'!D26="","",'1. Dades generals del projecte'!D26)</f>
        <v/>
      </c>
      <c r="I7" s="417"/>
      <c r="J7" s="417"/>
      <c r="K7" s="84"/>
      <c r="L7" s="84"/>
      <c r="M7" s="411" t="s">
        <v>11</v>
      </c>
      <c r="N7" s="411"/>
      <c r="O7" s="414" t="str">
        <f>IF('1. Dades generals del projecte'!G26="","",'1. Dades generals del projecte'!G26)</f>
        <v/>
      </c>
      <c r="P7" s="414"/>
      <c r="Q7" s="414"/>
      <c r="R7" s="82"/>
      <c r="S7" s="147" t="s">
        <v>179</v>
      </c>
      <c r="T7" s="414" t="str">
        <f>IF('1. Dades generals del projecte'!K26="","",'1. Dades generals del projecte'!K26)</f>
        <v/>
      </c>
      <c r="U7" s="414"/>
      <c r="V7" s="414"/>
    </row>
    <row r="8" spans="1:24" s="6" customFormat="1" ht="15.75" customHeight="1">
      <c r="A8" s="166" t="s">
        <v>220</v>
      </c>
      <c r="B8" s="4"/>
      <c r="E8" s="87"/>
      <c r="F8" s="87"/>
      <c r="G8" s="87"/>
      <c r="H8" s="88"/>
      <c r="I8" s="88"/>
      <c r="J8" s="86"/>
      <c r="K8" s="82"/>
      <c r="L8" s="82"/>
      <c r="M8" s="86"/>
      <c r="N8" s="86"/>
      <c r="O8" s="86"/>
      <c r="P8" s="86"/>
      <c r="Q8" s="86"/>
      <c r="R8" s="82"/>
      <c r="S8" s="86"/>
      <c r="T8" s="86"/>
      <c r="U8" s="86"/>
      <c r="V8" s="86"/>
    </row>
    <row r="9" spans="1:24" s="6" customFormat="1" ht="15.75" customHeight="1">
      <c r="A9" s="166" t="s">
        <v>174</v>
      </c>
      <c r="B9" s="4"/>
      <c r="E9" s="411" t="s">
        <v>182</v>
      </c>
      <c r="F9" s="411"/>
      <c r="G9" s="411"/>
      <c r="H9" s="412" t="str">
        <f>'1. Dades generals del projecte'!H35:I35</f>
        <v/>
      </c>
      <c r="I9" s="412"/>
      <c r="J9" s="412"/>
      <c r="K9" s="82"/>
      <c r="L9" s="82"/>
      <c r="M9" s="411" t="s">
        <v>183</v>
      </c>
      <c r="N9" s="411"/>
      <c r="O9" s="413" t="str">
        <f>IF(('2.1 Absorcions arbres'!I57)=0,"",('2.1 Absorcions arbres'!I57))</f>
        <v/>
      </c>
      <c r="P9" s="414"/>
      <c r="Q9" s="414"/>
      <c r="R9" s="82"/>
      <c r="S9" s="147" t="s">
        <v>123</v>
      </c>
      <c r="T9" s="413" t="str">
        <f>IF((MAX('1. Dades generals del projecte'!L30:M34))-(MIN('1. Dades generals del projecte'!J30:K34))=0,"",(MAX('1. Dades generals del projecte'!L30:M34))-(MIN('1. Dades generals del projecte'!J30:K34)))</f>
        <v/>
      </c>
      <c r="U9" s="414"/>
      <c r="V9" s="414"/>
    </row>
    <row r="10" spans="1:24" ht="15.75" customHeight="1">
      <c r="A10" s="166" t="s">
        <v>175</v>
      </c>
      <c r="B10" s="4"/>
      <c r="E10" s="15"/>
      <c r="F10" s="15"/>
      <c r="G10" s="16"/>
      <c r="H10" s="11"/>
      <c r="I10" s="11"/>
      <c r="J10" s="11"/>
      <c r="K10" s="11"/>
      <c r="L10" s="11"/>
      <c r="M10" s="11"/>
      <c r="N10" s="11"/>
      <c r="O10" s="11"/>
      <c r="P10" s="11"/>
      <c r="Q10" s="11"/>
      <c r="R10" s="11"/>
      <c r="S10" s="11"/>
      <c r="T10" s="11"/>
      <c r="U10" s="11"/>
      <c r="V10" s="11"/>
      <c r="W10" s="11"/>
    </row>
    <row r="11" spans="1:24" ht="15.75" customHeight="1">
      <c r="A11" s="5"/>
      <c r="D11" s="404" t="s">
        <v>181</v>
      </c>
      <c r="E11" s="404"/>
      <c r="F11" s="404"/>
      <c r="G11" s="404"/>
      <c r="H11" s="404"/>
      <c r="I11" s="404"/>
      <c r="J11" s="404"/>
      <c r="K11" s="404"/>
      <c r="L11" s="404"/>
      <c r="M11" s="404"/>
      <c r="N11" s="404"/>
      <c r="O11" s="404"/>
      <c r="P11" s="404"/>
      <c r="Q11" s="404"/>
      <c r="R11" s="404"/>
      <c r="S11" s="404"/>
      <c r="T11" s="404"/>
      <c r="U11" s="404"/>
      <c r="V11" s="404"/>
      <c r="W11" s="404"/>
    </row>
    <row r="12" spans="1:24" s="6" customFormat="1" ht="16.5" customHeight="1">
      <c r="A12" s="5"/>
      <c r="B12" s="2"/>
      <c r="E12" s="19"/>
      <c r="F12" s="19"/>
      <c r="G12" s="19"/>
      <c r="H12" s="19"/>
      <c r="I12" s="19"/>
      <c r="J12" s="19"/>
      <c r="K12" s="19"/>
      <c r="L12" s="19"/>
      <c r="M12" s="19"/>
      <c r="N12" s="20"/>
      <c r="O12" s="19"/>
      <c r="P12" s="19"/>
      <c r="Q12" s="19"/>
      <c r="R12" s="11"/>
      <c r="S12" s="11"/>
      <c r="T12" s="11"/>
      <c r="U12" s="11"/>
      <c r="V12" s="11"/>
      <c r="W12" s="11"/>
    </row>
    <row r="13" spans="1:24" s="6" customFormat="1" ht="16.5" customHeight="1">
      <c r="A13" s="5"/>
      <c r="B13" s="2"/>
      <c r="E13" s="19"/>
      <c r="F13" s="19"/>
      <c r="G13" s="19"/>
      <c r="H13" s="19"/>
      <c r="I13" s="19"/>
      <c r="J13" s="19"/>
      <c r="K13" s="19"/>
      <c r="L13" s="19"/>
      <c r="M13" s="19"/>
      <c r="N13" s="93"/>
      <c r="O13" s="19"/>
      <c r="P13" s="19"/>
      <c r="Q13" s="19"/>
      <c r="R13" s="11"/>
      <c r="S13" s="11"/>
      <c r="T13" s="11"/>
      <c r="U13" s="11"/>
      <c r="V13" s="11"/>
      <c r="W13" s="11"/>
    </row>
    <row r="14" spans="1:24" s="6" customFormat="1" ht="16.5" customHeight="1">
      <c r="A14" s="5"/>
      <c r="B14" s="2"/>
      <c r="E14" s="19"/>
      <c r="F14" s="19"/>
      <c r="G14" s="19"/>
      <c r="H14" s="19"/>
      <c r="I14" s="19"/>
      <c r="J14" s="19"/>
      <c r="K14" s="19"/>
      <c r="L14" s="19"/>
      <c r="M14" s="19"/>
      <c r="N14" s="93"/>
      <c r="O14" s="19"/>
      <c r="P14" s="19"/>
      <c r="Q14" s="19"/>
      <c r="R14" s="11"/>
      <c r="S14" s="11"/>
      <c r="T14" s="11"/>
      <c r="U14" s="11"/>
      <c r="V14" s="11"/>
      <c r="W14" s="11"/>
    </row>
    <row r="15" spans="1:24" s="6" customFormat="1" ht="16.5" customHeight="1">
      <c r="A15" s="5"/>
      <c r="B15" s="2"/>
      <c r="E15" s="19"/>
      <c r="F15" s="19"/>
      <c r="G15" s="19"/>
      <c r="H15" s="19"/>
      <c r="I15" s="19"/>
      <c r="J15" s="19"/>
      <c r="K15" s="19"/>
      <c r="L15" s="19"/>
      <c r="M15" s="19"/>
      <c r="N15" s="93"/>
      <c r="O15" s="19"/>
      <c r="P15" s="19"/>
      <c r="Q15" s="19"/>
      <c r="R15" s="11"/>
      <c r="S15" s="11"/>
      <c r="T15" s="11"/>
      <c r="U15" s="11"/>
      <c r="V15" s="11"/>
      <c r="W15" s="11"/>
    </row>
    <row r="16" spans="1:24" s="6" customFormat="1" ht="15.75" customHeight="1">
      <c r="A16" s="5"/>
      <c r="B16" s="2"/>
      <c r="E16" s="122"/>
      <c r="F16" s="405" t="s">
        <v>186</v>
      </c>
      <c r="G16" s="405"/>
      <c r="H16" s="405"/>
      <c r="I16" s="405" t="s">
        <v>204</v>
      </c>
      <c r="J16" s="405"/>
      <c r="K16" s="405" t="s">
        <v>205</v>
      </c>
      <c r="L16" s="405"/>
      <c r="M16" s="405"/>
      <c r="N16" s="146" t="s">
        <v>206</v>
      </c>
      <c r="O16" s="146" t="s">
        <v>207</v>
      </c>
      <c r="P16" s="19"/>
      <c r="Q16" s="19"/>
      <c r="R16" s="11"/>
      <c r="S16" s="11"/>
      <c r="T16" s="11"/>
      <c r="U16" s="11"/>
      <c r="V16" s="11"/>
      <c r="W16" s="11"/>
    </row>
    <row r="17" spans="1:24" s="6" customFormat="1" ht="15.75" customHeight="1">
      <c r="A17" s="5"/>
      <c r="B17" s="2"/>
      <c r="E17" s="146" t="s">
        <v>185</v>
      </c>
      <c r="F17" s="146" t="s">
        <v>187</v>
      </c>
      <c r="G17" s="403" t="s">
        <v>188</v>
      </c>
      <c r="H17" s="403"/>
      <c r="I17" s="401">
        <f>'2.1 Absorcions arbres'!K57</f>
        <v>0</v>
      </c>
      <c r="J17" s="401"/>
      <c r="K17" s="401" t="s">
        <v>14</v>
      </c>
      <c r="L17" s="401"/>
      <c r="M17" s="401"/>
      <c r="N17" s="124" t="s">
        <v>14</v>
      </c>
      <c r="O17" s="123">
        <f>IFERROR(I17/1000,"")</f>
        <v>0</v>
      </c>
      <c r="P17" s="11"/>
      <c r="Q17" s="11"/>
      <c r="R17" s="11"/>
      <c r="S17" s="11"/>
      <c r="T17" s="11"/>
      <c r="U17" s="11"/>
      <c r="V17" s="11"/>
      <c r="W17" s="11"/>
    </row>
    <row r="18" spans="1:24" s="6" customFormat="1" ht="15.75" customHeight="1">
      <c r="A18" s="5"/>
      <c r="B18" s="2"/>
      <c r="E18" s="405" t="s">
        <v>184</v>
      </c>
      <c r="F18" s="146" t="s">
        <v>4</v>
      </c>
      <c r="G18" s="403" t="s">
        <v>260</v>
      </c>
      <c r="H18" s="403"/>
      <c r="I18" s="401">
        <f>'2.2 Emissions restes tallada'!V64</f>
        <v>0</v>
      </c>
      <c r="J18" s="401"/>
      <c r="K18" s="401" t="s">
        <v>14</v>
      </c>
      <c r="L18" s="401"/>
      <c r="M18" s="401"/>
      <c r="N18" s="124" t="s">
        <v>14</v>
      </c>
      <c r="O18" s="123">
        <f>IFERROR(I18/1000,"")</f>
        <v>0</v>
      </c>
    </row>
    <row r="19" spans="1:24" s="6" customFormat="1" ht="15.75" customHeight="1">
      <c r="A19" s="5"/>
      <c r="B19" s="2"/>
      <c r="E19" s="405"/>
      <c r="F19" s="146" t="s">
        <v>5</v>
      </c>
      <c r="G19" s="403" t="s">
        <v>189</v>
      </c>
      <c r="H19" s="403"/>
      <c r="I19" s="401">
        <f>'2.3 Emissions maquinària'!I60</f>
        <v>0</v>
      </c>
      <c r="J19" s="401"/>
      <c r="K19" s="401">
        <f>'2.3 Emissions maquinària'!J60</f>
        <v>0</v>
      </c>
      <c r="L19" s="401"/>
      <c r="M19" s="401"/>
      <c r="N19" s="124">
        <f>'2.3 Emissions maquinària'!K60</f>
        <v>0</v>
      </c>
      <c r="O19" s="124">
        <f>IFERROR(((I19/1000)+((K19*Dades_PA!B135)/1000000)+(('3. Resultats'!N19*Dades_PA!B136)/1000000)),"")</f>
        <v>0</v>
      </c>
    </row>
    <row r="20" spans="1:24" s="6" customFormat="1" ht="15.75" customHeight="1">
      <c r="A20" s="5"/>
      <c r="B20" s="2"/>
      <c r="E20" s="405"/>
      <c r="F20" s="146" t="s">
        <v>118</v>
      </c>
      <c r="G20" s="403" t="s">
        <v>261</v>
      </c>
      <c r="H20" s="403"/>
      <c r="I20" s="401" t="s">
        <v>14</v>
      </c>
      <c r="J20" s="401"/>
      <c r="K20" s="401">
        <f>('2.4 Emissions crema restes'!O57+'2.4 Emissions crema restes'!Q57+'2.4 Emissions crema restes'!S57)</f>
        <v>0</v>
      </c>
      <c r="L20" s="401"/>
      <c r="M20" s="401"/>
      <c r="N20" s="124">
        <f>('2.4 Emissions crema restes'!P57+'2.4 Emissions crema restes'!R57+'2.4 Emissions crema restes'!T57)</f>
        <v>0</v>
      </c>
      <c r="O20" s="123">
        <f>IFERROR((((K20*Dades_PA!B135)+('3. Resultats'!N20*Dades_PA!B136))/1000000),"")</f>
        <v>0</v>
      </c>
      <c r="P20" s="21"/>
      <c r="Q20" s="21"/>
      <c r="R20" s="21"/>
      <c r="S20" s="21"/>
      <c r="T20" s="21"/>
      <c r="U20" s="21"/>
      <c r="V20" s="21"/>
      <c r="W20" s="21"/>
      <c r="X20" s="21"/>
    </row>
    <row r="21" spans="1:24" s="6" customFormat="1" ht="15.75" customHeight="1">
      <c r="A21" s="5"/>
      <c r="B21" s="2"/>
      <c r="E21" s="405"/>
      <c r="F21" s="146" t="s">
        <v>119</v>
      </c>
      <c r="G21" s="403" t="s">
        <v>190</v>
      </c>
      <c r="H21" s="403"/>
      <c r="I21" s="401">
        <f>'2.5 Emissions productes'!R61</f>
        <v>0</v>
      </c>
      <c r="J21" s="401"/>
      <c r="K21" s="401" t="s">
        <v>14</v>
      </c>
      <c r="L21" s="401"/>
      <c r="M21" s="401"/>
      <c r="N21" s="124" t="s">
        <v>14</v>
      </c>
      <c r="O21" s="123">
        <f>IFERROR((I21/1000),"")</f>
        <v>0</v>
      </c>
      <c r="P21" s="21"/>
      <c r="Q21" s="21"/>
      <c r="R21" s="21"/>
      <c r="S21" s="21"/>
      <c r="T21" s="21"/>
      <c r="U21" s="21"/>
      <c r="V21" s="21"/>
      <c r="W21" s="21"/>
      <c r="X21" s="21"/>
    </row>
    <row r="22" spans="1:24" s="6" customFormat="1" ht="3" customHeight="1">
      <c r="A22" s="5"/>
      <c r="B22" s="2"/>
      <c r="E22" s="22"/>
      <c r="F22" s="22"/>
      <c r="G22" s="11"/>
      <c r="H22" s="11"/>
      <c r="I22" s="125"/>
      <c r="J22" s="125"/>
      <c r="K22" s="125"/>
      <c r="L22" s="125"/>
      <c r="M22" s="126"/>
      <c r="N22" s="92"/>
      <c r="O22" s="92"/>
      <c r="P22" s="17"/>
      <c r="Q22" s="17"/>
      <c r="R22" s="11"/>
      <c r="S22" s="11"/>
      <c r="T22" s="11"/>
      <c r="U22" s="11"/>
      <c r="V22" s="11"/>
      <c r="W22" s="11"/>
    </row>
    <row r="23" spans="1:24" s="6" customFormat="1" ht="16.5" customHeight="1">
      <c r="A23" s="5"/>
      <c r="B23" s="2"/>
      <c r="E23" s="403" t="s">
        <v>191</v>
      </c>
      <c r="F23" s="423" t="s">
        <v>185</v>
      </c>
      <c r="G23" s="424"/>
      <c r="H23" s="425"/>
      <c r="I23" s="402">
        <f>I17</f>
        <v>0</v>
      </c>
      <c r="J23" s="402"/>
      <c r="K23" s="402" t="s">
        <v>14</v>
      </c>
      <c r="L23" s="402"/>
      <c r="M23" s="402"/>
      <c r="N23" s="123" t="s">
        <v>14</v>
      </c>
      <c r="O23" s="123">
        <f>O17</f>
        <v>0</v>
      </c>
      <c r="P23" s="17"/>
      <c r="Q23" s="17"/>
      <c r="R23" s="11"/>
      <c r="S23" s="11"/>
      <c r="T23" s="11"/>
      <c r="U23" s="11"/>
      <c r="V23" s="11"/>
      <c r="W23" s="11"/>
    </row>
    <row r="24" spans="1:24" s="6" customFormat="1" ht="16.5" customHeight="1">
      <c r="A24" s="5"/>
      <c r="B24" s="2"/>
      <c r="E24" s="403"/>
      <c r="F24" s="423" t="s">
        <v>184</v>
      </c>
      <c r="G24" s="424"/>
      <c r="H24" s="425"/>
      <c r="I24" s="402">
        <f>I18+I19+I21</f>
        <v>0</v>
      </c>
      <c r="J24" s="402"/>
      <c r="K24" s="402">
        <f>K19+K20</f>
        <v>0</v>
      </c>
      <c r="L24" s="402"/>
      <c r="M24" s="402"/>
      <c r="N24" s="123">
        <f>N19+N20</f>
        <v>0</v>
      </c>
      <c r="O24" s="123">
        <f>IFERROR((O18+O19+O20+O21),"")</f>
        <v>0</v>
      </c>
      <c r="P24" s="17"/>
      <c r="Q24" s="17"/>
      <c r="R24" s="11"/>
      <c r="S24" s="11"/>
      <c r="T24" s="11"/>
      <c r="U24" s="11"/>
      <c r="V24" s="11"/>
      <c r="W24" s="11"/>
    </row>
    <row r="25" spans="1:24">
      <c r="A25" s="5"/>
      <c r="E25" s="420" t="s">
        <v>192</v>
      </c>
      <c r="F25" s="421"/>
      <c r="G25" s="421"/>
      <c r="H25" s="422"/>
      <c r="I25" s="430">
        <f>IFERROR((I23-I24),"")</f>
        <v>0</v>
      </c>
      <c r="J25" s="430"/>
      <c r="K25" s="430">
        <f>IFERROR(-K24,"")</f>
        <v>0</v>
      </c>
      <c r="L25" s="430"/>
      <c r="M25" s="430"/>
      <c r="N25" s="127">
        <f>IFERROR(-N24,"")</f>
        <v>0</v>
      </c>
      <c r="O25" s="127">
        <f>IFERROR((O23-O24),"")</f>
        <v>0</v>
      </c>
      <c r="P25" s="17"/>
      <c r="Q25" s="17"/>
      <c r="R25" s="11"/>
      <c r="S25" s="11"/>
      <c r="T25" s="11"/>
      <c r="U25" s="11"/>
      <c r="V25" s="11"/>
      <c r="W25" s="11"/>
    </row>
    <row r="26" spans="1:24">
      <c r="A26" s="5"/>
      <c r="E26" s="11"/>
      <c r="F26" s="11"/>
      <c r="G26" s="11"/>
      <c r="H26" s="11"/>
      <c r="I26" s="18"/>
      <c r="J26" s="18"/>
      <c r="K26" s="11"/>
      <c r="L26" s="11"/>
      <c r="M26" s="6"/>
      <c r="N26" s="17"/>
      <c r="O26" s="24"/>
      <c r="P26" s="17"/>
      <c r="Q26" s="17"/>
      <c r="R26" s="11"/>
      <c r="S26" s="11"/>
      <c r="T26" s="11"/>
      <c r="U26" s="11"/>
      <c r="V26" s="11"/>
      <c r="W26" s="11"/>
    </row>
    <row r="27" spans="1:24">
      <c r="A27" s="5"/>
      <c r="E27" s="11"/>
      <c r="F27" s="11"/>
      <c r="G27" s="11"/>
      <c r="H27" s="11"/>
      <c r="I27" s="18"/>
      <c r="J27" s="18"/>
      <c r="K27" s="11"/>
      <c r="L27" s="11"/>
      <c r="M27" s="6"/>
      <c r="N27" s="17"/>
      <c r="O27" s="24"/>
      <c r="P27" s="17"/>
      <c r="Q27" s="17"/>
      <c r="R27" s="11"/>
      <c r="S27" s="11"/>
      <c r="T27" s="11"/>
      <c r="U27" s="11"/>
      <c r="V27" s="11"/>
      <c r="W27" s="11"/>
    </row>
    <row r="28" spans="1:24">
      <c r="A28" s="5"/>
      <c r="E28" s="11"/>
      <c r="F28" s="11"/>
      <c r="G28" s="11"/>
      <c r="H28" s="11"/>
      <c r="I28" s="18"/>
      <c r="J28" s="18"/>
      <c r="K28" s="11"/>
      <c r="L28" s="11"/>
      <c r="M28" s="6"/>
      <c r="N28" s="17"/>
      <c r="O28" s="24"/>
      <c r="P28" s="17"/>
      <c r="Q28" s="17"/>
      <c r="R28" s="11"/>
      <c r="S28" s="11"/>
      <c r="T28" s="11"/>
      <c r="U28" s="11"/>
      <c r="V28" s="11"/>
      <c r="W28" s="11"/>
    </row>
    <row r="29" spans="1:24">
      <c r="A29" s="5"/>
      <c r="E29" s="11"/>
      <c r="F29" s="11"/>
      <c r="G29" s="11"/>
      <c r="H29" s="11"/>
      <c r="I29" s="18"/>
      <c r="J29" s="18"/>
      <c r="K29" s="11"/>
      <c r="L29" s="11"/>
      <c r="M29" s="6"/>
      <c r="N29" s="17"/>
      <c r="O29" s="24"/>
      <c r="P29" s="17"/>
      <c r="Q29" s="17"/>
      <c r="R29" s="11"/>
      <c r="S29" s="11"/>
      <c r="T29" s="11"/>
      <c r="U29" s="11"/>
      <c r="V29" s="11"/>
      <c r="W29" s="11"/>
    </row>
    <row r="30" spans="1:24" s="6" customFormat="1" ht="11.25" customHeight="1">
      <c r="A30" s="12"/>
      <c r="B30" s="2"/>
      <c r="E30" s="79"/>
      <c r="F30" s="79"/>
      <c r="G30" s="79"/>
      <c r="H30" s="79"/>
      <c r="I30" s="79"/>
      <c r="J30" s="79"/>
      <c r="K30" s="79"/>
      <c r="L30" s="79"/>
      <c r="M30" s="11"/>
      <c r="N30" s="11"/>
      <c r="O30" s="11"/>
      <c r="P30" s="11"/>
      <c r="Q30" s="11"/>
      <c r="R30" s="11"/>
      <c r="S30" s="11"/>
      <c r="T30" s="11"/>
      <c r="U30" s="11"/>
      <c r="V30" s="11"/>
      <c r="W30" s="11"/>
    </row>
    <row r="31" spans="1:24" s="6" customFormat="1" ht="17.25" customHeight="1">
      <c r="A31" s="12"/>
      <c r="B31" s="2"/>
      <c r="D31" s="404" t="s">
        <v>180</v>
      </c>
      <c r="E31" s="404"/>
      <c r="F31" s="404"/>
      <c r="G31" s="404"/>
      <c r="H31" s="404"/>
      <c r="I31" s="404"/>
      <c r="J31" s="404"/>
      <c r="K31" s="404"/>
      <c r="L31" s="404"/>
      <c r="M31" s="404"/>
      <c r="N31" s="404"/>
      <c r="O31" s="404"/>
      <c r="P31" s="404"/>
      <c r="Q31" s="404"/>
      <c r="R31" s="404"/>
      <c r="S31" s="404"/>
      <c r="T31" s="404"/>
      <c r="U31" s="404"/>
      <c r="V31" s="404"/>
      <c r="W31" s="404"/>
    </row>
    <row r="32" spans="1:24" s="6" customFormat="1" ht="16.5" customHeight="1">
      <c r="A32" s="12"/>
      <c r="B32" s="2"/>
      <c r="E32" s="11"/>
      <c r="F32" s="11"/>
      <c r="G32" s="11"/>
      <c r="H32" s="11"/>
      <c r="I32" s="11"/>
      <c r="J32" s="11"/>
      <c r="K32" s="11"/>
      <c r="L32" s="11"/>
      <c r="M32" s="14"/>
      <c r="N32" s="14"/>
      <c r="O32" s="14"/>
      <c r="P32" s="14"/>
      <c r="Q32" s="14"/>
      <c r="R32" s="14"/>
      <c r="S32" s="14"/>
      <c r="T32" s="11"/>
      <c r="U32" s="11"/>
      <c r="V32" s="11"/>
      <c r="W32" s="11"/>
    </row>
    <row r="33" spans="1:19" ht="4.5" customHeight="1">
      <c r="E33" s="159"/>
      <c r="F33" s="160"/>
      <c r="G33" s="161"/>
      <c r="H33" s="162"/>
      <c r="I33" s="163"/>
      <c r="J33" s="426"/>
      <c r="K33" s="427"/>
      <c r="L33" s="11"/>
      <c r="R33" s="14"/>
      <c r="S33" s="14"/>
    </row>
    <row r="34" spans="1:19" ht="18" customHeight="1">
      <c r="A34" s="6"/>
      <c r="B34" s="6"/>
      <c r="E34" s="408" t="s">
        <v>199</v>
      </c>
      <c r="F34" s="409"/>
      <c r="G34" s="410"/>
      <c r="H34" s="128">
        <f>IFERROR(O25,"")</f>
        <v>0</v>
      </c>
      <c r="I34" s="418" t="s">
        <v>208</v>
      </c>
      <c r="J34" s="418"/>
      <c r="K34" s="419"/>
      <c r="L34" s="11"/>
      <c r="R34" s="14"/>
      <c r="S34" s="14"/>
    </row>
    <row r="35" spans="1:19" ht="4.5" customHeight="1">
      <c r="A35" s="6"/>
      <c r="B35" s="6"/>
      <c r="E35" s="148"/>
      <c r="F35" s="149"/>
      <c r="G35" s="150"/>
      <c r="H35" s="165"/>
      <c r="I35" s="156"/>
      <c r="J35" s="428"/>
      <c r="K35" s="429"/>
      <c r="L35" s="11"/>
      <c r="R35" s="14"/>
      <c r="S35" s="14"/>
    </row>
    <row r="36" spans="1:19" ht="18" customHeight="1">
      <c r="A36" s="6"/>
      <c r="B36" s="6"/>
      <c r="E36" s="408" t="s">
        <v>194</v>
      </c>
      <c r="F36" s="409"/>
      <c r="G36" s="410"/>
      <c r="H36" s="128">
        <f>IFERROR(H34*18%,"")</f>
        <v>0</v>
      </c>
      <c r="I36" s="418" t="s">
        <v>208</v>
      </c>
      <c r="J36" s="418"/>
      <c r="K36" s="419"/>
      <c r="L36" s="11"/>
      <c r="R36" s="14"/>
      <c r="S36" s="14"/>
    </row>
    <row r="37" spans="1:19" ht="4.5" customHeight="1">
      <c r="A37" s="6"/>
      <c r="B37" s="6"/>
      <c r="E37" s="151"/>
      <c r="F37" s="152"/>
      <c r="G37" s="153"/>
      <c r="H37" s="165"/>
      <c r="I37" s="157"/>
      <c r="J37" s="428"/>
      <c r="K37" s="429"/>
      <c r="L37" s="11"/>
      <c r="R37" s="14"/>
      <c r="S37" s="14"/>
    </row>
    <row r="38" spans="1:19" ht="18" customHeight="1">
      <c r="A38" s="6"/>
      <c r="B38" s="6"/>
      <c r="E38" s="408" t="s">
        <v>193</v>
      </c>
      <c r="F38" s="409"/>
      <c r="G38" s="410"/>
      <c r="H38" s="128">
        <f>IFERROR(H34*2%,"")</f>
        <v>0</v>
      </c>
      <c r="I38" s="418" t="s">
        <v>208</v>
      </c>
      <c r="J38" s="418"/>
      <c r="K38" s="419"/>
      <c r="L38" s="11"/>
      <c r="R38" s="14"/>
      <c r="S38" s="14"/>
    </row>
    <row r="39" spans="1:19" ht="4.5" customHeight="1">
      <c r="A39" s="6"/>
      <c r="B39" s="6"/>
      <c r="E39" s="154"/>
      <c r="F39" s="155"/>
      <c r="G39" s="155"/>
      <c r="H39" s="164"/>
      <c r="I39" s="158"/>
      <c r="J39" s="406"/>
      <c r="K39" s="407"/>
      <c r="L39" s="11"/>
      <c r="R39" s="14"/>
      <c r="S39" s="14"/>
    </row>
    <row r="40" spans="1:19">
      <c r="R40" s="14"/>
      <c r="S40" s="14"/>
    </row>
    <row r="41" spans="1:19">
      <c r="E41" s="13"/>
      <c r="F41" s="13"/>
      <c r="G41" s="13"/>
      <c r="R41" s="14"/>
      <c r="S41" s="14"/>
    </row>
    <row r="42" spans="1:19">
      <c r="E42" s="228"/>
      <c r="F42" s="228"/>
      <c r="G42" s="228"/>
      <c r="H42" s="229"/>
      <c r="I42" s="229"/>
      <c r="J42" s="229"/>
      <c r="K42" s="229"/>
      <c r="L42" s="229"/>
      <c r="M42" s="229"/>
      <c r="N42" s="94"/>
      <c r="O42" s="94"/>
      <c r="R42" s="14"/>
      <c r="S42" s="14"/>
    </row>
    <row r="43" spans="1:19">
      <c r="E43" s="95"/>
      <c r="F43" s="95"/>
      <c r="G43" s="95"/>
      <c r="H43" s="96"/>
      <c r="I43" s="96"/>
      <c r="J43" s="96"/>
      <c r="K43" s="96"/>
      <c r="L43" s="96"/>
      <c r="M43" s="96"/>
      <c r="N43" s="94"/>
      <c r="O43" s="94"/>
      <c r="S43" s="91"/>
    </row>
    <row r="44" spans="1:19" ht="16.5" customHeight="1">
      <c r="E44" s="95"/>
      <c r="F44" s="95" t="s">
        <v>196</v>
      </c>
      <c r="G44" s="95" t="s">
        <v>262</v>
      </c>
      <c r="H44" s="96" t="s">
        <v>197</v>
      </c>
      <c r="I44" s="96" t="s">
        <v>263</v>
      </c>
      <c r="J44" s="96" t="s">
        <v>198</v>
      </c>
      <c r="K44" s="96"/>
      <c r="L44" s="96"/>
      <c r="M44" s="96"/>
      <c r="N44" s="94"/>
      <c r="O44" s="94"/>
    </row>
    <row r="45" spans="1:19">
      <c r="E45" s="95" t="s">
        <v>185</v>
      </c>
      <c r="F45" s="97">
        <f>O17</f>
        <v>0</v>
      </c>
      <c r="G45" s="95"/>
      <c r="H45" s="96"/>
      <c r="I45" s="96"/>
      <c r="J45" s="96"/>
      <c r="K45" s="96"/>
      <c r="L45" s="96"/>
      <c r="M45" s="96"/>
      <c r="N45" s="94"/>
      <c r="O45" s="94"/>
    </row>
    <row r="46" spans="1:19">
      <c r="E46" s="95" t="s">
        <v>184</v>
      </c>
      <c r="F46" s="95"/>
      <c r="G46" s="97">
        <f>O18</f>
        <v>0</v>
      </c>
      <c r="H46" s="98">
        <f>O19</f>
        <v>0</v>
      </c>
      <c r="I46" s="98">
        <f>O20</f>
        <v>0</v>
      </c>
      <c r="J46" s="98">
        <f>O21</f>
        <v>0</v>
      </c>
      <c r="K46" s="96"/>
      <c r="L46" s="96"/>
      <c r="M46" s="96"/>
      <c r="N46" s="94"/>
      <c r="O46" s="94"/>
    </row>
    <row r="47" spans="1:19">
      <c r="E47" s="95" t="s">
        <v>195</v>
      </c>
      <c r="F47" s="97">
        <f>O25</f>
        <v>0</v>
      </c>
      <c r="G47" s="95"/>
      <c r="H47" s="96"/>
      <c r="I47" s="96"/>
      <c r="J47" s="96"/>
      <c r="K47" s="96"/>
      <c r="L47" s="96"/>
      <c r="M47" s="96"/>
      <c r="N47" s="94"/>
      <c r="O47" s="94"/>
    </row>
    <row r="48" spans="1:19">
      <c r="E48" s="95"/>
      <c r="F48" s="95"/>
      <c r="G48" s="95"/>
      <c r="H48" s="96"/>
      <c r="I48" s="96"/>
      <c r="J48" s="96"/>
      <c r="K48" s="96"/>
      <c r="L48" s="96"/>
      <c r="M48" s="96"/>
      <c r="N48" s="94"/>
      <c r="O48" s="94"/>
    </row>
    <row r="49" spans="3:15">
      <c r="C49" s="14"/>
      <c r="D49" s="14"/>
      <c r="E49" s="94"/>
      <c r="F49" s="94"/>
      <c r="G49" s="94"/>
      <c r="H49" s="94"/>
      <c r="I49" s="94"/>
      <c r="J49" s="94"/>
      <c r="K49" s="94"/>
      <c r="L49" s="94"/>
      <c r="M49" s="94"/>
      <c r="N49" s="94"/>
      <c r="O49" s="94"/>
    </row>
    <row r="50" spans="3:15">
      <c r="C50" s="14"/>
      <c r="D50" s="14"/>
      <c r="E50" s="94"/>
      <c r="F50" s="94"/>
      <c r="G50" s="94"/>
      <c r="H50" s="94"/>
      <c r="I50" s="94"/>
      <c r="J50" s="94"/>
      <c r="K50" s="94"/>
      <c r="L50" s="94"/>
      <c r="M50" s="94"/>
      <c r="N50" s="94"/>
      <c r="O50" s="94"/>
    </row>
    <row r="51" spans="3:15">
      <c r="C51" s="14"/>
      <c r="D51" s="14"/>
      <c r="E51" s="229"/>
      <c r="F51" s="229"/>
      <c r="G51" s="229"/>
      <c r="H51" s="229"/>
      <c r="I51" s="229"/>
      <c r="J51" s="229"/>
      <c r="K51" s="229"/>
      <c r="L51" s="229"/>
      <c r="M51" s="229"/>
      <c r="N51" s="94"/>
      <c r="O51" s="94"/>
    </row>
    <row r="52" spans="3:15">
      <c r="C52" s="14"/>
      <c r="D52" s="14"/>
      <c r="E52" s="229"/>
      <c r="F52" s="229"/>
      <c r="G52" s="229"/>
      <c r="H52" s="229"/>
      <c r="I52" s="229"/>
      <c r="J52" s="229"/>
      <c r="K52" s="229"/>
      <c r="L52" s="229"/>
      <c r="M52" s="229"/>
      <c r="N52" s="94"/>
      <c r="O52" s="94"/>
    </row>
    <row r="53" spans="3:15">
      <c r="C53" s="14"/>
      <c r="D53" s="14"/>
      <c r="E53" s="94"/>
      <c r="F53" s="94"/>
      <c r="G53" s="94"/>
      <c r="H53" s="94"/>
      <c r="I53" s="94"/>
      <c r="J53" s="94"/>
      <c r="K53" s="94"/>
      <c r="L53" s="94"/>
      <c r="M53" s="94"/>
      <c r="N53" s="94"/>
      <c r="O53" s="94"/>
    </row>
    <row r="54" spans="3:15">
      <c r="C54" s="14"/>
      <c r="D54" s="14"/>
      <c r="E54" s="14"/>
      <c r="F54" s="14"/>
      <c r="G54" s="14"/>
    </row>
    <row r="55" spans="3:15">
      <c r="C55" s="14"/>
      <c r="D55" s="14"/>
      <c r="E55" s="14"/>
      <c r="F55" s="14"/>
      <c r="G55" s="14"/>
    </row>
  </sheetData>
  <sheetProtection sheet="1" objects="1" scenarios="1"/>
  <mergeCells count="57">
    <mergeCell ref="I36:K36"/>
    <mergeCell ref="I34:K34"/>
    <mergeCell ref="I38:K38"/>
    <mergeCell ref="E25:H25"/>
    <mergeCell ref="F23:H23"/>
    <mergeCell ref="F24:H24"/>
    <mergeCell ref="I24:J24"/>
    <mergeCell ref="I23:J23"/>
    <mergeCell ref="D31:W31"/>
    <mergeCell ref="J33:K33"/>
    <mergeCell ref="J35:K35"/>
    <mergeCell ref="J37:K37"/>
    <mergeCell ref="K25:M25"/>
    <mergeCell ref="I25:J25"/>
    <mergeCell ref="E5:G5"/>
    <mergeCell ref="H3:V3"/>
    <mergeCell ref="H5:Q5"/>
    <mergeCell ref="T5:V5"/>
    <mergeCell ref="H7:J7"/>
    <mergeCell ref="M7:N7"/>
    <mergeCell ref="O7:Q7"/>
    <mergeCell ref="T7:V7"/>
    <mergeCell ref="E9:G9"/>
    <mergeCell ref="H9:J9"/>
    <mergeCell ref="M9:N9"/>
    <mergeCell ref="O9:Q9"/>
    <mergeCell ref="T9:V9"/>
    <mergeCell ref="J39:K39"/>
    <mergeCell ref="E34:G34"/>
    <mergeCell ref="E36:G36"/>
    <mergeCell ref="E38:G38"/>
    <mergeCell ref="C1:X1"/>
    <mergeCell ref="E3:G3"/>
    <mergeCell ref="E7:G7"/>
    <mergeCell ref="G17:H17"/>
    <mergeCell ref="I17:J17"/>
    <mergeCell ref="G18:H18"/>
    <mergeCell ref="I18:J18"/>
    <mergeCell ref="G19:H19"/>
    <mergeCell ref="I19:J19"/>
    <mergeCell ref="K17:M17"/>
    <mergeCell ref="K18:M18"/>
    <mergeCell ref="K19:M19"/>
    <mergeCell ref="K20:M20"/>
    <mergeCell ref="K21:M21"/>
    <mergeCell ref="K23:M23"/>
    <mergeCell ref="E23:E24"/>
    <mergeCell ref="D11:W11"/>
    <mergeCell ref="K24:M24"/>
    <mergeCell ref="I16:J16"/>
    <mergeCell ref="K16:M16"/>
    <mergeCell ref="G20:H20"/>
    <mergeCell ref="I20:J20"/>
    <mergeCell ref="G21:H21"/>
    <mergeCell ref="I21:J21"/>
    <mergeCell ref="E18:E21"/>
    <mergeCell ref="F16:H16"/>
  </mergeCells>
  <dataValidations disablePrompts="1" count="1">
    <dataValidation operator="equal" allowBlank="1" showInputMessage="1" showErrorMessage="1" sqref="E32:F32"/>
  </dataValidations>
  <hyperlinks>
    <hyperlink ref="A5" location="'2.1 Absorcions arbres'!A1" display="2.1. Càpsula 1.1: Absorcions dels arbres"/>
    <hyperlink ref="A7" location="'2.3 Emissions maquinària'!A1" display="2.3. Càpsula 2.2: Emissions de vehicles i maquinària"/>
    <hyperlink ref="A8" location="'2.4 Emissions crema restes'!A1" display="2.4. Càpsula 2.3: Emissions de CH4 i N2O per crema"/>
    <hyperlink ref="A9" location="'2.5 Emissions productes'!A1" display="2.5. Càpsula 2.4: Emissions dels productes fusters"/>
    <hyperlink ref="A10" location="'3. Resultats'!A1" display="3. Resultats d'absorcions del projecte"/>
    <hyperlink ref="A6" location="'2.2 Emissions restes tallada'!A1" display="2.2. Càpsula 2.1: Emissions de CO2 per descomposició i crema"/>
    <hyperlink ref="A4" location="'1. Dades generals del projecte'!A1" display="1. Dades del projecte"/>
  </hyperlinks>
  <pageMargins left="0.25" right="0.25" top="0.75" bottom="0.75" header="0.3" footer="0.3"/>
  <pageSetup paperSize="9" scale="56" firstPageNumber="0" fitToHeight="0" orientation="landscape" horizontalDpi="300" verticalDpi="300" r:id="rId1"/>
  <colBreaks count="1" manualBreakCount="1">
    <brk id="4" max="1048575" man="1"/>
  </colBreaks>
  <drawing r:id="rId2"/>
</worksheet>
</file>

<file path=xl/worksheets/sheet9.xml><?xml version="1.0" encoding="utf-8"?>
<worksheet xmlns="http://schemas.openxmlformats.org/spreadsheetml/2006/main" xmlns:r="http://schemas.openxmlformats.org/officeDocument/2006/relationships">
  <dimension ref="A1:Z145"/>
  <sheetViews>
    <sheetView zoomScale="85" zoomScaleNormal="85" workbookViewId="0">
      <selection activeCell="L12" sqref="L12"/>
    </sheetView>
  </sheetViews>
  <sheetFormatPr baseColWidth="10" defaultRowHeight="15"/>
  <cols>
    <col min="1" max="1" width="38.85546875" customWidth="1"/>
    <col min="2" max="2" width="13.7109375" customWidth="1"/>
    <col min="3" max="4" width="13.85546875" customWidth="1"/>
    <col min="5" max="5" width="16.5703125" customWidth="1"/>
    <col min="8" max="8" width="14.7109375" customWidth="1"/>
  </cols>
  <sheetData>
    <row r="1" spans="1:8">
      <c r="A1" s="28" t="s">
        <v>20</v>
      </c>
      <c r="B1" s="29"/>
      <c r="C1" s="29"/>
      <c r="D1" s="29"/>
      <c r="E1" s="29"/>
      <c r="F1" s="29"/>
      <c r="G1" s="29"/>
      <c r="H1" s="29"/>
    </row>
    <row r="2" spans="1:8" s="30" customFormat="1">
      <c r="A2" s="42"/>
    </row>
    <row r="3" spans="1:8" ht="15.75" thickBot="1">
      <c r="A3" s="43" t="s">
        <v>97</v>
      </c>
    </row>
    <row r="4" spans="1:8">
      <c r="A4" s="31"/>
      <c r="B4" s="32" t="s">
        <v>26</v>
      </c>
      <c r="C4" s="32"/>
      <c r="D4" s="32"/>
      <c r="E4" s="32"/>
      <c r="F4" s="32"/>
      <c r="G4" s="32"/>
      <c r="H4" s="33"/>
    </row>
    <row r="5" spans="1:8">
      <c r="A5" s="34" t="s">
        <v>25</v>
      </c>
      <c r="B5" s="35">
        <v>5</v>
      </c>
      <c r="C5" s="35">
        <v>10</v>
      </c>
      <c r="D5" s="35">
        <v>15</v>
      </c>
      <c r="E5" s="35">
        <v>20</v>
      </c>
      <c r="F5" s="35">
        <v>25</v>
      </c>
      <c r="G5" s="35">
        <v>30</v>
      </c>
      <c r="H5" s="36" t="s">
        <v>54</v>
      </c>
    </row>
    <row r="6" spans="1:8">
      <c r="A6" s="34" t="s">
        <v>27</v>
      </c>
      <c r="B6" s="37">
        <v>0.12</v>
      </c>
      <c r="C6" s="37">
        <v>4.28</v>
      </c>
      <c r="D6" s="37">
        <v>11.39</v>
      </c>
      <c r="E6" s="37">
        <v>25.34</v>
      </c>
      <c r="F6" s="37">
        <v>31.68</v>
      </c>
      <c r="G6" s="37">
        <v>89.36</v>
      </c>
      <c r="H6" s="36" t="s">
        <v>55</v>
      </c>
    </row>
    <row r="7" spans="1:8">
      <c r="A7" s="34" t="s">
        <v>28</v>
      </c>
      <c r="B7" s="37">
        <v>0.05</v>
      </c>
      <c r="C7" s="37">
        <v>1.79</v>
      </c>
      <c r="D7" s="37">
        <v>7.68</v>
      </c>
      <c r="E7" s="37">
        <v>18.61</v>
      </c>
      <c r="F7" s="37">
        <v>35.1</v>
      </c>
      <c r="G7" s="37">
        <v>57.47</v>
      </c>
      <c r="H7" s="36" t="s">
        <v>55</v>
      </c>
    </row>
    <row r="8" spans="1:8">
      <c r="A8" s="34" t="s">
        <v>29</v>
      </c>
      <c r="B8" s="37">
        <v>0.02</v>
      </c>
      <c r="C8" s="37">
        <v>0.81</v>
      </c>
      <c r="D8" s="37">
        <v>3.24</v>
      </c>
      <c r="E8" s="37">
        <v>7.79</v>
      </c>
      <c r="F8" s="37">
        <v>14.87</v>
      </c>
      <c r="G8" s="37">
        <v>24.74</v>
      </c>
      <c r="H8" s="36" t="s">
        <v>55</v>
      </c>
    </row>
    <row r="9" spans="1:8">
      <c r="A9" s="34" t="s">
        <v>30</v>
      </c>
      <c r="B9" s="37">
        <v>0.13</v>
      </c>
      <c r="C9" s="37">
        <v>4.59</v>
      </c>
      <c r="D9" s="37">
        <v>20.96</v>
      </c>
      <c r="E9" s="37">
        <v>51.99</v>
      </c>
      <c r="F9" s="37">
        <v>98.68</v>
      </c>
      <c r="G9" s="37">
        <v>161.12</v>
      </c>
      <c r="H9" s="36" t="s">
        <v>55</v>
      </c>
    </row>
    <row r="10" spans="1:8">
      <c r="A10" s="34" t="s">
        <v>31</v>
      </c>
      <c r="B10" s="37">
        <v>0.16</v>
      </c>
      <c r="C10" s="37">
        <v>5.66</v>
      </c>
      <c r="D10" s="37">
        <v>23.07</v>
      </c>
      <c r="E10" s="37">
        <v>53.29</v>
      </c>
      <c r="F10" s="37">
        <v>96.74</v>
      </c>
      <c r="G10" s="37">
        <v>153.61000000000001</v>
      </c>
      <c r="H10" s="36" t="s">
        <v>55</v>
      </c>
    </row>
    <row r="11" spans="1:8">
      <c r="A11" s="34" t="s">
        <v>32</v>
      </c>
      <c r="B11" s="37">
        <v>0.11</v>
      </c>
      <c r="C11" s="37">
        <v>3.88</v>
      </c>
      <c r="D11" s="37">
        <v>18.3</v>
      </c>
      <c r="E11" s="37">
        <v>42.91</v>
      </c>
      <c r="F11" s="37">
        <v>112.03</v>
      </c>
      <c r="G11" s="37">
        <v>205.17</v>
      </c>
      <c r="H11" s="36" t="s">
        <v>55</v>
      </c>
    </row>
    <row r="12" spans="1:8">
      <c r="A12" s="34" t="s">
        <v>33</v>
      </c>
      <c r="B12" s="37">
        <v>7.0000000000000007E-2</v>
      </c>
      <c r="C12" s="37">
        <v>2.63</v>
      </c>
      <c r="D12" s="37">
        <v>17.329999999999998</v>
      </c>
      <c r="E12" s="37">
        <v>49.93</v>
      </c>
      <c r="F12" s="37">
        <v>100.84</v>
      </c>
      <c r="G12" s="37">
        <v>171.9</v>
      </c>
      <c r="H12" s="36" t="s">
        <v>55</v>
      </c>
    </row>
    <row r="13" spans="1:8">
      <c r="A13" s="34" t="s">
        <v>34</v>
      </c>
      <c r="B13" s="37">
        <v>0.16</v>
      </c>
      <c r="C13" s="37">
        <v>5.75</v>
      </c>
      <c r="D13" s="37">
        <v>25.62</v>
      </c>
      <c r="E13" s="37">
        <v>61.96</v>
      </c>
      <c r="F13" s="37">
        <v>77.45</v>
      </c>
      <c r="G13" s="37">
        <v>92.94</v>
      </c>
      <c r="H13" s="36" t="s">
        <v>55</v>
      </c>
    </row>
    <row r="14" spans="1:8">
      <c r="A14" s="34" t="s">
        <v>35</v>
      </c>
      <c r="B14" s="37">
        <v>0.11</v>
      </c>
      <c r="C14" s="37">
        <v>3.88</v>
      </c>
      <c r="D14" s="37">
        <v>18.3</v>
      </c>
      <c r="E14" s="37">
        <v>42.91</v>
      </c>
      <c r="F14" s="37">
        <v>112.03</v>
      </c>
      <c r="G14" s="37">
        <v>205.17</v>
      </c>
      <c r="H14" s="36" t="s">
        <v>55</v>
      </c>
    </row>
    <row r="15" spans="1:8">
      <c r="A15" s="34" t="s">
        <v>36</v>
      </c>
      <c r="B15" s="35">
        <v>0.24</v>
      </c>
      <c r="C15" s="35">
        <v>8.4700000000000006</v>
      </c>
      <c r="D15" s="35">
        <v>12.22</v>
      </c>
      <c r="E15" s="35">
        <v>16.98</v>
      </c>
      <c r="F15" s="35">
        <v>22.89</v>
      </c>
      <c r="G15" s="35">
        <v>30.09</v>
      </c>
      <c r="H15" s="36" t="s">
        <v>56</v>
      </c>
    </row>
    <row r="16" spans="1:8">
      <c r="A16" s="34" t="s">
        <v>37</v>
      </c>
      <c r="B16" s="37">
        <v>0.11</v>
      </c>
      <c r="C16" s="37">
        <v>3.88</v>
      </c>
      <c r="D16" s="37">
        <v>18.3</v>
      </c>
      <c r="E16" s="37">
        <v>42.91</v>
      </c>
      <c r="F16" s="37">
        <v>112.03</v>
      </c>
      <c r="G16" s="37">
        <v>205.17</v>
      </c>
      <c r="H16" s="36" t="s">
        <v>55</v>
      </c>
    </row>
    <row r="17" spans="1:8">
      <c r="A17" s="34" t="s">
        <v>38</v>
      </c>
      <c r="B17" s="37">
        <v>0.11</v>
      </c>
      <c r="C17" s="37">
        <v>3.88</v>
      </c>
      <c r="D17" s="37">
        <v>18.3</v>
      </c>
      <c r="E17" s="37">
        <v>42.91</v>
      </c>
      <c r="F17" s="37">
        <v>112.03</v>
      </c>
      <c r="G17" s="37">
        <v>205.17</v>
      </c>
      <c r="H17" s="36" t="s">
        <v>55</v>
      </c>
    </row>
    <row r="18" spans="1:8">
      <c r="A18" s="34" t="s">
        <v>39</v>
      </c>
      <c r="B18" s="37">
        <v>0.11</v>
      </c>
      <c r="C18" s="37">
        <v>3.88</v>
      </c>
      <c r="D18" s="37">
        <v>18.3</v>
      </c>
      <c r="E18" s="37">
        <v>42.91</v>
      </c>
      <c r="F18" s="37">
        <v>112.03</v>
      </c>
      <c r="G18" s="37">
        <v>205.17</v>
      </c>
      <c r="H18" s="36" t="s">
        <v>55</v>
      </c>
    </row>
    <row r="19" spans="1:8">
      <c r="A19" s="34" t="s">
        <v>40</v>
      </c>
      <c r="B19" s="37">
        <v>0.11</v>
      </c>
      <c r="C19" s="37">
        <v>3.88</v>
      </c>
      <c r="D19" s="37">
        <v>18.260000000000002</v>
      </c>
      <c r="E19" s="37">
        <v>39</v>
      </c>
      <c r="F19" s="37">
        <v>48.74</v>
      </c>
      <c r="G19" s="37">
        <v>84.08</v>
      </c>
      <c r="H19" s="36" t="s">
        <v>55</v>
      </c>
    </row>
    <row r="20" spans="1:8">
      <c r="A20" s="34" t="s">
        <v>41</v>
      </c>
      <c r="B20" s="37">
        <v>0.15</v>
      </c>
      <c r="C20" s="37">
        <v>5.29</v>
      </c>
      <c r="D20" s="37">
        <v>29.63</v>
      </c>
      <c r="E20" s="37">
        <v>77.28</v>
      </c>
      <c r="F20" s="37">
        <v>149.59</v>
      </c>
      <c r="G20" s="37">
        <v>246.68</v>
      </c>
      <c r="H20" s="36" t="s">
        <v>55</v>
      </c>
    </row>
    <row r="21" spans="1:8">
      <c r="A21" s="34" t="s">
        <v>42</v>
      </c>
      <c r="B21" s="37">
        <v>0.05</v>
      </c>
      <c r="C21" s="37">
        <v>1.91</v>
      </c>
      <c r="D21" s="37">
        <v>7.49</v>
      </c>
      <c r="E21" s="37">
        <v>17.55</v>
      </c>
      <c r="F21" s="37">
        <v>32.58</v>
      </c>
      <c r="G21" s="37">
        <v>52.89</v>
      </c>
      <c r="H21" s="36" t="s">
        <v>56</v>
      </c>
    </row>
    <row r="22" spans="1:8">
      <c r="A22" s="34" t="s">
        <v>43</v>
      </c>
      <c r="B22" s="37">
        <v>0.36</v>
      </c>
      <c r="C22" s="37">
        <v>12.91</v>
      </c>
      <c r="D22" s="37">
        <v>32.909999999999997</v>
      </c>
      <c r="E22" s="37">
        <v>64.14</v>
      </c>
      <c r="F22" s="37">
        <v>107.47</v>
      </c>
      <c r="G22" s="37">
        <v>163.41</v>
      </c>
      <c r="H22" s="36" t="s">
        <v>56</v>
      </c>
    </row>
    <row r="23" spans="1:8">
      <c r="A23" s="34" t="s">
        <v>44</v>
      </c>
      <c r="B23" s="37">
        <v>0.17</v>
      </c>
      <c r="C23" s="37">
        <v>6.16</v>
      </c>
      <c r="D23" s="37">
        <v>18.899999999999999</v>
      </c>
      <c r="E23" s="37">
        <v>40.36</v>
      </c>
      <c r="F23" s="37">
        <v>71.52</v>
      </c>
      <c r="G23" s="37">
        <v>113.05</v>
      </c>
      <c r="H23" s="36" t="s">
        <v>56</v>
      </c>
    </row>
    <row r="24" spans="1:8">
      <c r="A24" s="34" t="s">
        <v>45</v>
      </c>
      <c r="B24" s="37">
        <v>0.15</v>
      </c>
      <c r="C24" s="37">
        <v>5.45</v>
      </c>
      <c r="D24" s="37">
        <v>26.39</v>
      </c>
      <c r="E24" s="37">
        <v>67.25</v>
      </c>
      <c r="F24" s="37">
        <v>130.13</v>
      </c>
      <c r="G24" s="37">
        <v>215.96</v>
      </c>
      <c r="H24" s="36" t="s">
        <v>55</v>
      </c>
    </row>
    <row r="25" spans="1:8">
      <c r="A25" s="34" t="s">
        <v>46</v>
      </c>
      <c r="B25" s="37">
        <v>1.26</v>
      </c>
      <c r="C25" s="37">
        <v>44.74</v>
      </c>
      <c r="D25" s="37">
        <v>140.32</v>
      </c>
      <c r="E25" s="37">
        <v>294.14</v>
      </c>
      <c r="F25" s="37">
        <v>506.69</v>
      </c>
      <c r="G25" s="37">
        <v>776.65</v>
      </c>
      <c r="H25" s="36" t="s">
        <v>55</v>
      </c>
    </row>
    <row r="26" spans="1:8">
      <c r="A26" s="34" t="s">
        <v>47</v>
      </c>
      <c r="B26" s="37">
        <v>0.12</v>
      </c>
      <c r="C26" s="37">
        <v>4.43</v>
      </c>
      <c r="D26" s="37">
        <v>20.63</v>
      </c>
      <c r="E26" s="37">
        <v>51.46</v>
      </c>
      <c r="F26" s="37">
        <v>98.1</v>
      </c>
      <c r="G26" s="37">
        <v>160.88</v>
      </c>
      <c r="H26" s="36" t="s">
        <v>55</v>
      </c>
    </row>
    <row r="27" spans="1:8">
      <c r="A27" s="34" t="s">
        <v>48</v>
      </c>
      <c r="B27" s="37">
        <v>0.13</v>
      </c>
      <c r="C27" s="37">
        <v>4.68</v>
      </c>
      <c r="D27" s="37">
        <v>21.89</v>
      </c>
      <c r="E27" s="37">
        <v>54.51</v>
      </c>
      <c r="F27" s="37">
        <v>103.56</v>
      </c>
      <c r="G27" s="37">
        <v>169.23</v>
      </c>
      <c r="H27" s="36" t="s">
        <v>55</v>
      </c>
    </row>
    <row r="28" spans="1:8">
      <c r="A28" s="34" t="s">
        <v>49</v>
      </c>
      <c r="B28" s="37">
        <v>0.12</v>
      </c>
      <c r="C28" s="37">
        <v>4.34</v>
      </c>
      <c r="D28" s="37">
        <v>20.49</v>
      </c>
      <c r="E28" s="37">
        <v>51.92</v>
      </c>
      <c r="F28" s="37">
        <v>100.52</v>
      </c>
      <c r="G28" s="37">
        <v>167.29</v>
      </c>
      <c r="H28" s="36" t="s">
        <v>55</v>
      </c>
    </row>
    <row r="29" spans="1:8">
      <c r="A29" s="34" t="s">
        <v>50</v>
      </c>
      <c r="B29" s="35">
        <v>0.08</v>
      </c>
      <c r="C29" s="35">
        <v>2.69</v>
      </c>
      <c r="D29" s="35">
        <v>10.43</v>
      </c>
      <c r="E29" s="35">
        <v>21.95</v>
      </c>
      <c r="F29" s="35">
        <v>36.75</v>
      </c>
      <c r="G29" s="35">
        <v>54.54</v>
      </c>
      <c r="H29" s="431" t="s">
        <v>56</v>
      </c>
    </row>
    <row r="30" spans="1:8">
      <c r="A30" s="34" t="s">
        <v>51</v>
      </c>
      <c r="B30" s="37">
        <v>0.17</v>
      </c>
      <c r="C30" s="37">
        <v>6.08</v>
      </c>
      <c r="D30" s="37">
        <v>26.85</v>
      </c>
      <c r="E30" s="37">
        <v>62.99</v>
      </c>
      <c r="F30" s="37">
        <v>113.86</v>
      </c>
      <c r="G30" s="37">
        <v>178.87</v>
      </c>
      <c r="H30" s="36" t="s">
        <v>55</v>
      </c>
    </row>
    <row r="31" spans="1:8">
      <c r="A31" s="34" t="s">
        <v>52</v>
      </c>
      <c r="B31" s="35">
        <v>0.16</v>
      </c>
      <c r="C31" s="35">
        <v>5.64</v>
      </c>
      <c r="D31" s="35">
        <v>13.02</v>
      </c>
      <c r="E31" s="35">
        <v>28.66</v>
      </c>
      <c r="F31" s="35">
        <v>66.62</v>
      </c>
      <c r="G31" s="35">
        <v>79.94</v>
      </c>
      <c r="H31" s="431" t="s">
        <v>55</v>
      </c>
    </row>
    <row r="32" spans="1:8" ht="15.75" thickBot="1">
      <c r="A32" s="38" t="s">
        <v>53</v>
      </c>
      <c r="B32" s="39">
        <v>0.18</v>
      </c>
      <c r="C32" s="40">
        <v>6.3</v>
      </c>
      <c r="D32" s="39">
        <v>14.54</v>
      </c>
      <c r="E32" s="39">
        <v>31.83</v>
      </c>
      <c r="F32" s="39">
        <v>48.32</v>
      </c>
      <c r="G32" s="39">
        <v>57.98</v>
      </c>
      <c r="H32" s="69" t="s">
        <v>55</v>
      </c>
    </row>
    <row r="34" spans="1:26">
      <c r="A34" s="28" t="s">
        <v>21</v>
      </c>
      <c r="B34" s="29"/>
      <c r="C34" s="29"/>
      <c r="D34" s="29"/>
      <c r="E34" s="29"/>
      <c r="F34" s="29"/>
      <c r="G34" s="29"/>
      <c r="H34" s="29"/>
    </row>
    <row r="36" spans="1:26" ht="15.75" thickBot="1">
      <c r="A36" s="43" t="s">
        <v>98</v>
      </c>
    </row>
    <row r="37" spans="1:26">
      <c r="A37" s="31" t="s">
        <v>57</v>
      </c>
      <c r="B37" s="218" t="s">
        <v>58</v>
      </c>
    </row>
    <row r="38" spans="1:26">
      <c r="A38" s="34" t="s">
        <v>138</v>
      </c>
      <c r="B38" s="63">
        <v>100</v>
      </c>
    </row>
    <row r="39" spans="1:26">
      <c r="A39" s="34" t="s">
        <v>139</v>
      </c>
      <c r="B39" s="63">
        <v>80</v>
      </c>
    </row>
    <row r="40" spans="1:26" ht="15.75" thickBot="1">
      <c r="A40" s="38" t="s">
        <v>140</v>
      </c>
      <c r="B40" s="62" t="s">
        <v>14</v>
      </c>
    </row>
    <row r="41" spans="1:26">
      <c r="A41" s="35"/>
      <c r="B41" s="35"/>
    </row>
    <row r="42" spans="1:26" ht="15.75" thickBot="1">
      <c r="A42" s="44" t="s">
        <v>99</v>
      </c>
    </row>
    <row r="43" spans="1:26">
      <c r="A43" s="31"/>
      <c r="B43" s="32" t="s">
        <v>59</v>
      </c>
      <c r="C43" s="32"/>
      <c r="D43" s="32"/>
      <c r="E43" s="32"/>
      <c r="F43" s="32"/>
      <c r="G43" s="32"/>
      <c r="H43" s="32"/>
      <c r="I43" s="32"/>
      <c r="J43" s="32"/>
      <c r="K43" s="32"/>
      <c r="L43" s="32"/>
      <c r="M43" s="32"/>
      <c r="N43" s="32"/>
      <c r="O43" s="32"/>
      <c r="P43" s="32"/>
      <c r="Q43" s="32"/>
      <c r="R43" s="32"/>
      <c r="S43" s="32"/>
      <c r="T43" s="32"/>
      <c r="U43" s="32"/>
      <c r="V43" s="32"/>
      <c r="W43" s="32"/>
      <c r="X43" s="32"/>
      <c r="Y43" s="32"/>
      <c r="Z43" s="33"/>
    </row>
    <row r="44" spans="1:26">
      <c r="A44" s="34" t="s">
        <v>25</v>
      </c>
      <c r="B44" s="35" t="s">
        <v>60</v>
      </c>
      <c r="C44" s="35" t="s">
        <v>62</v>
      </c>
      <c r="D44" s="35" t="s">
        <v>61</v>
      </c>
      <c r="E44" s="35" t="s">
        <v>63</v>
      </c>
      <c r="F44" s="35" t="s">
        <v>64</v>
      </c>
      <c r="G44" s="35" t="s">
        <v>65</v>
      </c>
      <c r="H44" s="35" t="s">
        <v>66</v>
      </c>
      <c r="I44" s="35" t="s">
        <v>67</v>
      </c>
      <c r="J44" s="35" t="s">
        <v>68</v>
      </c>
      <c r="K44" s="35" t="s">
        <v>69</v>
      </c>
      <c r="L44" s="35" t="s">
        <v>70</v>
      </c>
      <c r="M44" s="35" t="s">
        <v>71</v>
      </c>
      <c r="N44" s="35" t="s">
        <v>72</v>
      </c>
      <c r="O44" s="35" t="s">
        <v>73</v>
      </c>
      <c r="P44" s="35" t="s">
        <v>74</v>
      </c>
      <c r="Q44" s="35" t="s">
        <v>75</v>
      </c>
      <c r="R44" s="35" t="s">
        <v>76</v>
      </c>
      <c r="S44" s="35" t="s">
        <v>77</v>
      </c>
      <c r="T44" s="35" t="s">
        <v>78</v>
      </c>
      <c r="U44" s="35" t="s">
        <v>79</v>
      </c>
      <c r="V44" s="35" t="s">
        <v>80</v>
      </c>
      <c r="W44" s="35" t="s">
        <v>81</v>
      </c>
      <c r="X44" s="35" t="s">
        <v>82</v>
      </c>
      <c r="Y44" s="35" t="s">
        <v>83</v>
      </c>
      <c r="Z44" s="36" t="s">
        <v>54</v>
      </c>
    </row>
    <row r="45" spans="1:26">
      <c r="A45" s="34" t="s">
        <v>27</v>
      </c>
      <c r="B45" s="64">
        <f>$B$6*32.7%</f>
        <v>3.9239999999999997E-2</v>
      </c>
      <c r="C45" s="64">
        <f>($B$6*67.3%)*52.5%</f>
        <v>4.2398999999999992E-2</v>
      </c>
      <c r="D45" s="64">
        <f>($B$6*67.3%)*35.1%</f>
        <v>2.8346759999999999E-2</v>
      </c>
      <c r="E45" s="64">
        <f>($B$6*67.3%)*12.4%</f>
        <v>1.0014239999999997E-2</v>
      </c>
      <c r="F45" s="64">
        <f>$C$6*32.7%</f>
        <v>1.3995600000000001</v>
      </c>
      <c r="G45" s="64">
        <f>($C$6*67.3%)*52.5%</f>
        <v>1.5122309999999999</v>
      </c>
      <c r="H45" s="64">
        <f>($C$6*67.3%)*35.1%</f>
        <v>1.01103444</v>
      </c>
      <c r="I45" s="64">
        <f>($C$6*67.3%)*12.4%</f>
        <v>0.35717455999999997</v>
      </c>
      <c r="J45" s="64">
        <f>$D$6*32.7%</f>
        <v>3.7245300000000001</v>
      </c>
      <c r="K45" s="64">
        <f>($D$6*67.3%)*52.5%</f>
        <v>4.0243717500000002</v>
      </c>
      <c r="L45" s="64">
        <f>($D$6*67.3%)*35.1%</f>
        <v>2.6905799700000004</v>
      </c>
      <c r="M45" s="64">
        <f>($D$6*67.3%)*12.4%</f>
        <v>0.95051828000000005</v>
      </c>
      <c r="N45" s="64">
        <f>$E$6*32.7%</f>
        <v>8.2861799999999999</v>
      </c>
      <c r="O45" s="64">
        <f>($E$6*67.3%)*52.5%</f>
        <v>8.9532554999999991</v>
      </c>
      <c r="P45" s="64">
        <f>($E$6*67.3%)*35.1%</f>
        <v>5.9858908199999998</v>
      </c>
      <c r="Q45" s="64">
        <f>($E$6*67.3%)*12.4%</f>
        <v>2.1146736799999997</v>
      </c>
      <c r="R45" s="64">
        <f>$F$6*32.7%</f>
        <v>10.359360000000001</v>
      </c>
      <c r="S45" s="64">
        <f>($F$6*67.3%)*52.5%</f>
        <v>11.193335999999999</v>
      </c>
      <c r="T45" s="64">
        <f>($F$6*67.3%)*35.1%</f>
        <v>7.4835446399999999</v>
      </c>
      <c r="U45" s="64">
        <f>($F$6*67.3%)*12.4%</f>
        <v>2.6437593599999998</v>
      </c>
      <c r="V45" s="64">
        <f>$G$6*32.7%</f>
        <v>29.22072</v>
      </c>
      <c r="W45" s="64">
        <f>($G$6*67.3%)*52.5%</f>
        <v>31.573121999999998</v>
      </c>
      <c r="X45" s="64">
        <f>($G$6*67.3%)*35.1%</f>
        <v>21.108887279999998</v>
      </c>
      <c r="Y45" s="64">
        <f>($G$6*67.3%)*12.4%</f>
        <v>7.4572707199999986</v>
      </c>
      <c r="Z45" s="65" t="s">
        <v>55</v>
      </c>
    </row>
    <row r="46" spans="1:26">
      <c r="A46" s="34" t="s">
        <v>28</v>
      </c>
      <c r="B46" s="64">
        <f>$B$7*34.6%</f>
        <v>1.7300000000000003E-2</v>
      </c>
      <c r="C46" s="64">
        <f>($B$7*65.4%)*28.1%</f>
        <v>9.188700000000001E-3</v>
      </c>
      <c r="D46" s="64">
        <f>($B$7*65.4%)*55.6%</f>
        <v>1.8181200000000002E-2</v>
      </c>
      <c r="E46" s="64">
        <f>($B$7*65.4%)*16.3%</f>
        <v>5.3300999999999999E-3</v>
      </c>
      <c r="F46" s="64">
        <f>$C$7*34.6%</f>
        <v>0.61934000000000011</v>
      </c>
      <c r="G46" s="64">
        <f>($C$7*65.4%)*28.1%</f>
        <v>0.32895546000000003</v>
      </c>
      <c r="H46" s="64">
        <f>($C$7*65.4%)*55.6%</f>
        <v>0.65088696000000013</v>
      </c>
      <c r="I46" s="64">
        <f>($C$7*65.4%)*16.3%</f>
        <v>0.19081758000000001</v>
      </c>
      <c r="J46" s="64">
        <f>$D$7*34.6%</f>
        <v>2.6572800000000001</v>
      </c>
      <c r="K46" s="64">
        <f>($D$7*65.4%)*28.1%</f>
        <v>1.41138432</v>
      </c>
      <c r="L46" s="64">
        <f>($D$7*65.4%)*55.6%</f>
        <v>2.7926323200000001</v>
      </c>
      <c r="M46" s="64">
        <f>($D$7*65.4%)*16.3%</f>
        <v>0.81870335999999999</v>
      </c>
      <c r="N46" s="64">
        <f>$E$7*34.6%</f>
        <v>6.4390600000000004</v>
      </c>
      <c r="O46" s="64">
        <f>($E$7*65.4%)*28.1%</f>
        <v>3.4200341400000003</v>
      </c>
      <c r="P46" s="64">
        <f>($E$7*65.4%)*55.6%</f>
        <v>6.7670426400000006</v>
      </c>
      <c r="Q46" s="64">
        <f>($E$7*65.4%)*16.3%</f>
        <v>1.9838632200000001</v>
      </c>
      <c r="R46" s="64">
        <f>$F$7*34.6%</f>
        <v>12.144600000000002</v>
      </c>
      <c r="S46" s="64">
        <f>($F$7*65.4%)*28.1%</f>
        <v>6.4504674000000009</v>
      </c>
      <c r="T46" s="64">
        <f>($F$7*65.4%)*55.6%</f>
        <v>12.763202400000001</v>
      </c>
      <c r="U46" s="64">
        <f>($F$7*65.4%)*16.3%</f>
        <v>3.7417302000000001</v>
      </c>
      <c r="V46" s="64">
        <f>$G$7*34.6%</f>
        <v>19.884620000000002</v>
      </c>
      <c r="W46" s="64">
        <f>($G$7*65.4%)*28.1%</f>
        <v>10.561491780000001</v>
      </c>
      <c r="X46" s="64">
        <f>($G$7*65.4%)*55.6%</f>
        <v>20.897471280000001</v>
      </c>
      <c r="Y46" s="64">
        <f>($G$7*65.4%)*16.3%</f>
        <v>6.1264169400000004</v>
      </c>
      <c r="Z46" s="65" t="s">
        <v>55</v>
      </c>
    </row>
    <row r="47" spans="1:26">
      <c r="A47" s="34" t="s">
        <v>29</v>
      </c>
      <c r="B47" s="64">
        <f>$B$8*22.5%</f>
        <v>4.5000000000000005E-3</v>
      </c>
      <c r="C47" s="64">
        <f>($B$8*77.5%)*41.8%</f>
        <v>6.4790000000000004E-3</v>
      </c>
      <c r="D47" s="64">
        <f>($B$8*77.5%)*53.3%</f>
        <v>8.2614999999999997E-3</v>
      </c>
      <c r="E47" s="64">
        <f>($B$8*77.5%)*4.9%</f>
        <v>7.5950000000000008E-4</v>
      </c>
      <c r="F47" s="64">
        <f>$C$8*22.5%</f>
        <v>0.18225000000000002</v>
      </c>
      <c r="G47" s="64">
        <f>($C$8*77.5%)*41.8%</f>
        <v>0.26239950000000001</v>
      </c>
      <c r="H47" s="64">
        <f>($C$8*77.5%)*53.3%</f>
        <v>0.33459074999999999</v>
      </c>
      <c r="I47" s="64">
        <f>($C$8*77.5%)*4.9%</f>
        <v>3.0759750000000002E-2</v>
      </c>
      <c r="J47" s="64">
        <f>$D$8*22.5%</f>
        <v>0.72900000000000009</v>
      </c>
      <c r="K47" s="64">
        <f>($D$8*77.5%)*41.8%</f>
        <v>1.049598</v>
      </c>
      <c r="L47" s="64">
        <f>($D$8*77.5%)*53.3%</f>
        <v>1.338363</v>
      </c>
      <c r="M47" s="64">
        <f>($D$8*77.5%)*4.9%</f>
        <v>0.12303900000000001</v>
      </c>
      <c r="N47" s="64">
        <f>$E$8*22.5%</f>
        <v>1.75275</v>
      </c>
      <c r="O47" s="64">
        <f>($E$8*77.5%)*41.8%</f>
        <v>2.5235704999999999</v>
      </c>
      <c r="P47" s="64">
        <f>($E$8*77.5%)*53.3%</f>
        <v>3.2178542499999998</v>
      </c>
      <c r="Q47" s="64">
        <f>($E$8*77.5%)*4.9%</f>
        <v>0.29582525000000004</v>
      </c>
      <c r="R47" s="64">
        <f>$F$8*22.5%</f>
        <v>3.3457499999999998</v>
      </c>
      <c r="S47" s="64">
        <f>($F$8*77.5%)*41.8%</f>
        <v>4.8171365000000002</v>
      </c>
      <c r="T47" s="64">
        <f>($F$8*77.5%)*53.3%</f>
        <v>6.1424252499999996</v>
      </c>
      <c r="U47" s="64">
        <f>($F$8*77.5%)*4.9%</f>
        <v>0.56468825</v>
      </c>
      <c r="V47" s="64">
        <f>$G$8*22.5%</f>
        <v>5.5664999999999996</v>
      </c>
      <c r="W47" s="64">
        <f>($G$8*77.5%)*41.8%</f>
        <v>8.0145230000000005</v>
      </c>
      <c r="X47" s="64">
        <f>($G$8*77.5%)*53.3%</f>
        <v>10.219475499999998</v>
      </c>
      <c r="Y47" s="64">
        <f>($G$8*77.5%)*4.9%</f>
        <v>0.9395015000000001</v>
      </c>
      <c r="Z47" s="65" t="s">
        <v>55</v>
      </c>
    </row>
    <row r="48" spans="1:26">
      <c r="A48" s="34" t="s">
        <v>30</v>
      </c>
      <c r="B48" s="64">
        <f>$B$9*32.7%</f>
        <v>4.2510000000000006E-2</v>
      </c>
      <c r="C48" s="64">
        <f>($B$9*67.3%)*52.5%</f>
        <v>4.5932250000000001E-2</v>
      </c>
      <c r="D48" s="64">
        <f>($B$9*67.3%)*35.1%</f>
        <v>3.0708990000000002E-2</v>
      </c>
      <c r="E48" s="64">
        <f>($B$9*67.3%)*12.4%</f>
        <v>1.0848759999999999E-2</v>
      </c>
      <c r="F48" s="64">
        <f>$C$9*32.7%</f>
        <v>1.5009300000000001</v>
      </c>
      <c r="G48" s="64">
        <f>($C$9*67.3%)*52.5%</f>
        <v>1.6217617499999999</v>
      </c>
      <c r="H48" s="64">
        <f>($C$9*67.3%)*35.1%</f>
        <v>1.0842635699999998</v>
      </c>
      <c r="I48" s="64">
        <f>($C$9*67.3%)*12.4%</f>
        <v>0.38304467999999992</v>
      </c>
      <c r="J48" s="64">
        <f>$D$9*32.7%</f>
        <v>6.8539200000000005</v>
      </c>
      <c r="K48" s="64">
        <f>($D$9*67.3%)*52.5%</f>
        <v>7.4056919999999993</v>
      </c>
      <c r="L48" s="64">
        <f>($D$9*67.3%)*35.1%</f>
        <v>4.9512340799999999</v>
      </c>
      <c r="M48" s="64">
        <f>($D$9*67.3%)*12.4%</f>
        <v>1.7491539199999999</v>
      </c>
      <c r="N48" s="64">
        <f>$E$9*32.7%</f>
        <v>17.000730000000001</v>
      </c>
      <c r="O48" s="64">
        <f>($E$9*67.3%)*52.5%</f>
        <v>18.369366750000001</v>
      </c>
      <c r="P48" s="64">
        <f>($E$9*67.3%)*35.1%</f>
        <v>12.28123377</v>
      </c>
      <c r="Q48" s="64">
        <f>($E$9*67.3%)*12.4%</f>
        <v>4.3386694800000001</v>
      </c>
      <c r="R48" s="64">
        <f>$F$9*32.7%</f>
        <v>32.268360000000001</v>
      </c>
      <c r="S48" s="64">
        <f>($F$9*67.3%)*52.5%</f>
        <v>34.866110999999997</v>
      </c>
      <c r="T48" s="64">
        <f>($F$9*67.3%)*35.1%</f>
        <v>23.31048564</v>
      </c>
      <c r="U48" s="64">
        <f>($F$9*67.3%)*12.4%</f>
        <v>8.2350433599999988</v>
      </c>
      <c r="V48" s="64">
        <f>$G$9*32.7%</f>
        <v>52.686240000000005</v>
      </c>
      <c r="W48" s="64">
        <f>($G$9*67.3%)*52.5%</f>
        <v>56.927723999999998</v>
      </c>
      <c r="X48" s="64">
        <f>($G$9*67.3%)*35.1%</f>
        <v>38.060249759999998</v>
      </c>
      <c r="Y48" s="64">
        <f>($G$9*67.3%)*12.4%</f>
        <v>13.445786239999999</v>
      </c>
      <c r="Z48" s="65" t="s">
        <v>55</v>
      </c>
    </row>
    <row r="49" spans="1:26">
      <c r="A49" s="34" t="s">
        <v>31</v>
      </c>
      <c r="B49" s="64">
        <f>$B$10*32.7%</f>
        <v>5.2320000000000005E-2</v>
      </c>
      <c r="C49" s="64">
        <f>($B$10*67.3%)*52.5%</f>
        <v>5.6531999999999999E-2</v>
      </c>
      <c r="D49" s="64">
        <f>($B$10*67.3%)*35.1%</f>
        <v>3.7795680000000005E-2</v>
      </c>
      <c r="E49" s="64">
        <f>($B$10*67.3%)*12.4%</f>
        <v>1.3352319999999999E-2</v>
      </c>
      <c r="F49" s="64">
        <f>$C$10*32.7%</f>
        <v>1.8508200000000001</v>
      </c>
      <c r="G49" s="64">
        <f>($C$10*67.3%)*52.5%</f>
        <v>1.9998194999999999</v>
      </c>
      <c r="H49" s="64">
        <f>($C$10*67.3%)*35.1%</f>
        <v>1.3370221799999999</v>
      </c>
      <c r="I49" s="64">
        <f>($C$10*67.3%)*12.4%</f>
        <v>0.47233831999999992</v>
      </c>
      <c r="J49" s="64">
        <f>$D$10*32.7%</f>
        <v>7.5438900000000002</v>
      </c>
      <c r="K49" s="64">
        <f>($D$10*67.3%)*52.5%</f>
        <v>8.1512077499999993</v>
      </c>
      <c r="L49" s="64">
        <f>($D$10*67.3%)*35.1%</f>
        <v>5.4496646100000001</v>
      </c>
      <c r="M49" s="64">
        <f>($D$10*67.3%)*12.4%</f>
        <v>1.92523764</v>
      </c>
      <c r="N49" s="64">
        <f>$E$10*32.7%</f>
        <v>17.425830000000001</v>
      </c>
      <c r="O49" s="64">
        <f>($E$10*67.3%)*52.5%</f>
        <v>18.828689249999996</v>
      </c>
      <c r="P49" s="64">
        <f>($E$10*67.3%)*35.1%</f>
        <v>12.588323669999999</v>
      </c>
      <c r="Q49" s="64">
        <f>($E$10*67.3%)*12.4%</f>
        <v>4.4471570799999993</v>
      </c>
      <c r="R49" s="64">
        <f>$F$10*32.7%</f>
        <v>31.633980000000001</v>
      </c>
      <c r="S49" s="64">
        <f>($F$10*67.3%)*52.5%</f>
        <v>34.180660499999995</v>
      </c>
      <c r="T49" s="64">
        <f>($F$10*67.3%)*35.1%</f>
        <v>22.852213019999997</v>
      </c>
      <c r="U49" s="64">
        <f>($F$10*67.3%)*12.4%</f>
        <v>8.0731464799999983</v>
      </c>
      <c r="V49" s="64">
        <f>$G$10*32.7%</f>
        <v>50.230470000000004</v>
      </c>
      <c r="W49" s="64">
        <f>($G$10*67.3%)*52.5%</f>
        <v>54.274253250000001</v>
      </c>
      <c r="X49" s="64">
        <f>($G$10*67.3%)*35.1%</f>
        <v>36.286215030000001</v>
      </c>
      <c r="Y49" s="64">
        <f>($G$10*67.3%)*12.4%</f>
        <v>12.819061720000001</v>
      </c>
      <c r="Z49" s="65" t="s">
        <v>55</v>
      </c>
    </row>
    <row r="50" spans="1:26">
      <c r="A50" s="34" t="s">
        <v>32</v>
      </c>
      <c r="B50" s="64">
        <f>$B$11*32.7%</f>
        <v>3.5970000000000002E-2</v>
      </c>
      <c r="C50" s="64">
        <f>($B$11*67.3%)*52.5%</f>
        <v>3.8865749999999998E-2</v>
      </c>
      <c r="D50" s="64">
        <f>($B$11*67.3%)*35.1%</f>
        <v>2.5984530000000002E-2</v>
      </c>
      <c r="E50" s="64">
        <f>($B$11*67.3%)*12.4%</f>
        <v>9.1797200000000006E-3</v>
      </c>
      <c r="F50" s="64">
        <f>$C$11*32.7%</f>
        <v>1.2687600000000001</v>
      </c>
      <c r="G50" s="64">
        <f>($C$11*67.3%)*52.5%</f>
        <v>1.3709009999999999</v>
      </c>
      <c r="H50" s="64">
        <f>($C$11*67.3%)*35.1%</f>
        <v>0.91654523999999993</v>
      </c>
      <c r="I50" s="64">
        <f>($C$11*67.3%)*12.4%</f>
        <v>0.32379375999999993</v>
      </c>
      <c r="J50" s="64">
        <f>$D$11*32.7%</f>
        <v>5.9841000000000006</v>
      </c>
      <c r="K50" s="64">
        <f>($D$11*67.3%)*52.5%</f>
        <v>6.4658474999999997</v>
      </c>
      <c r="L50" s="64">
        <f>($D$11*67.3%)*35.1%</f>
        <v>4.3228809000000004</v>
      </c>
      <c r="M50" s="64">
        <f>($D$11*67.3%)*12.4%</f>
        <v>1.5271716</v>
      </c>
      <c r="N50" s="64">
        <f>$E$11*32.7%</f>
        <v>14.03157</v>
      </c>
      <c r="O50" s="64">
        <f>($E$11*67.3%)*52.5%</f>
        <v>15.161175749999998</v>
      </c>
      <c r="P50" s="64">
        <f>($E$11*67.3%)*35.1%</f>
        <v>10.136328929999999</v>
      </c>
      <c r="Q50" s="64">
        <f>($E$11*67.3%)*12.4%</f>
        <v>3.5809253199999991</v>
      </c>
      <c r="R50" s="64">
        <f>$F$11*32.7%</f>
        <v>36.633810000000004</v>
      </c>
      <c r="S50" s="64">
        <f>($F$11*67.3%)*52.5%</f>
        <v>39.582999749999999</v>
      </c>
      <c r="T50" s="64">
        <f>($F$11*67.3%)*35.1%</f>
        <v>26.464062689999999</v>
      </c>
      <c r="U50" s="64">
        <f>($F$11*67.3%)*12.4%</f>
        <v>9.3491275599999994</v>
      </c>
      <c r="V50" s="64">
        <f>$G$11*32.7%</f>
        <v>67.090589999999992</v>
      </c>
      <c r="W50" s="64">
        <f>($G$11*67.3%)*52.5%</f>
        <v>72.491690249999991</v>
      </c>
      <c r="X50" s="64">
        <f>($G$11*67.3%)*35.1%</f>
        <v>48.465872909999995</v>
      </c>
      <c r="Y50" s="64">
        <f>($G$11*67.3%)*12.4%</f>
        <v>17.121846839999996</v>
      </c>
      <c r="Z50" s="65" t="s">
        <v>55</v>
      </c>
    </row>
    <row r="51" spans="1:26">
      <c r="A51" s="34" t="s">
        <v>33</v>
      </c>
      <c r="B51" s="64">
        <f>$B$12*42.2%</f>
        <v>2.9540000000000007E-2</v>
      </c>
      <c r="C51" s="64">
        <f>($B$12*57.8%)*42.2%</f>
        <v>1.7074120000000002E-2</v>
      </c>
      <c r="D51" s="64">
        <f>($B$12*57.8%)*40.6%</f>
        <v>1.6426760000000002E-2</v>
      </c>
      <c r="E51" s="64">
        <f>($B$12*57.8%)*17.2%</f>
        <v>6.9591200000000001E-3</v>
      </c>
      <c r="F51" s="64">
        <f>$C$12*42.2%</f>
        <v>1.1098600000000001</v>
      </c>
      <c r="G51" s="64">
        <f>($C$12*57.8%)*42.2%</f>
        <v>0.64149908</v>
      </c>
      <c r="H51" s="64">
        <f>($C$12*57.8%)*40.6%</f>
        <v>0.61717683999999995</v>
      </c>
      <c r="I51" s="64">
        <f>($C$12*57.8%)*17.2%</f>
        <v>0.26146407999999993</v>
      </c>
      <c r="J51" s="64">
        <f>$D$12*42.2%</f>
        <v>7.3132599999999996</v>
      </c>
      <c r="K51" s="64">
        <f>($D$12*57.8%)*42.2%</f>
        <v>4.2270642799999996</v>
      </c>
      <c r="L51" s="64">
        <f>($D$12*57.8%)*40.6%</f>
        <v>4.0667964400000001</v>
      </c>
      <c r="M51" s="64">
        <f>($D$12*57.8%)*17.2%</f>
        <v>1.7228792799999997</v>
      </c>
      <c r="N51" s="64">
        <f>$E$12*42.2%</f>
        <v>21.070460000000001</v>
      </c>
      <c r="O51" s="64">
        <f>($E$12*57.8%)*42.2%</f>
        <v>12.17872588</v>
      </c>
      <c r="P51" s="64">
        <f>($E$12*57.8%)*40.6%</f>
        <v>11.71697324</v>
      </c>
      <c r="Q51" s="64">
        <f>($E$12*57.8%)*17.2%</f>
        <v>4.9638408799999993</v>
      </c>
      <c r="R51" s="64">
        <f>$F$12*42.2%</f>
        <v>42.554480000000005</v>
      </c>
      <c r="S51" s="64">
        <f>($F$12*57.8%)*42.2%</f>
        <v>24.596489440000003</v>
      </c>
      <c r="T51" s="64">
        <f>($F$12*57.8%)*40.6%</f>
        <v>23.663921120000001</v>
      </c>
      <c r="U51" s="64">
        <f>($F$12*57.8%)*17.2%</f>
        <v>10.02510944</v>
      </c>
      <c r="V51" s="64">
        <f>$G$12*42.2%</f>
        <v>72.541800000000009</v>
      </c>
      <c r="W51" s="64">
        <f>($G$12*57.8%)*42.2%</f>
        <v>41.929160400000001</v>
      </c>
      <c r="X51" s="64">
        <f>($G$12*57.8%)*40.6%</f>
        <v>40.339429199999998</v>
      </c>
      <c r="Y51" s="64">
        <f>($G$12*57.8%)*17.2%</f>
        <v>17.089610399999998</v>
      </c>
      <c r="Z51" s="65" t="s">
        <v>55</v>
      </c>
    </row>
    <row r="52" spans="1:26">
      <c r="A52" s="34" t="s">
        <v>34</v>
      </c>
      <c r="B52" s="64">
        <f>$B$13*48.8%</f>
        <v>7.8079999999999997E-2</v>
      </c>
      <c r="C52" s="64">
        <f>($B$13*51.2%)*34.5%</f>
        <v>2.82624E-2</v>
      </c>
      <c r="D52" s="64">
        <f>($B$13*51.2%)*40%</f>
        <v>3.2768000000000005E-2</v>
      </c>
      <c r="E52" s="64">
        <f>($B$13*51.2%)*25.5%</f>
        <v>2.0889600000000001E-2</v>
      </c>
      <c r="F52" s="64">
        <f>$C$13*48.8%</f>
        <v>2.806</v>
      </c>
      <c r="G52" s="64">
        <f>($C$13*51.2%)*34.5%</f>
        <v>1.0156799999999999</v>
      </c>
      <c r="H52" s="64">
        <f>($C$13*51.2%)*40%</f>
        <v>1.1776</v>
      </c>
      <c r="I52" s="64">
        <f>($C$13*51.2%)*25.5%</f>
        <v>0.75072000000000005</v>
      </c>
      <c r="J52" s="64">
        <f>$D$13*48.8%</f>
        <v>12.502560000000001</v>
      </c>
      <c r="K52" s="64">
        <f>($D$13*51.2%)*34.5%</f>
        <v>4.5255168000000001</v>
      </c>
      <c r="L52" s="64">
        <f>($D$13*51.2%)*40%</f>
        <v>5.2469760000000001</v>
      </c>
      <c r="M52" s="64">
        <f>($D$13*51.2%)*25.5%</f>
        <v>3.3449472</v>
      </c>
      <c r="N52" s="64">
        <f>$E$13*48.8%</f>
        <v>30.23648</v>
      </c>
      <c r="O52" s="64">
        <f>($E$13*51.2%)*34.5%</f>
        <v>10.944614399999999</v>
      </c>
      <c r="P52" s="64">
        <f>($E$13*51.2%)*40%</f>
        <v>12.689408</v>
      </c>
      <c r="Q52" s="64">
        <f>($E$13*51.2%)*25.5%</f>
        <v>8.0894975999999996</v>
      </c>
      <c r="R52" s="64">
        <f>$F$13*48.8%</f>
        <v>37.7956</v>
      </c>
      <c r="S52" s="64">
        <f>($F$13*51.2%)*34.5%</f>
        <v>13.680768</v>
      </c>
      <c r="T52" s="64">
        <f>($F$13*51.2%)*40%</f>
        <v>15.861760000000002</v>
      </c>
      <c r="U52" s="64">
        <f>($F$13*51.2%)*25.5%</f>
        <v>10.111872</v>
      </c>
      <c r="V52" s="64">
        <f>$G$13*48.8%</f>
        <v>45.35472</v>
      </c>
      <c r="W52" s="64">
        <f>($G$13*51.2%)*34.5%</f>
        <v>16.416921599999998</v>
      </c>
      <c r="X52" s="64">
        <f>($G$13*51.2%)*40%</f>
        <v>19.034112</v>
      </c>
      <c r="Y52" s="64">
        <f>($G$13*51.2%)*25.5%</f>
        <v>12.1342464</v>
      </c>
      <c r="Z52" s="65" t="s">
        <v>55</v>
      </c>
    </row>
    <row r="53" spans="1:26">
      <c r="A53" s="34" t="s">
        <v>35</v>
      </c>
      <c r="B53" s="66">
        <f>$B$14*32.7%</f>
        <v>3.5970000000000002E-2</v>
      </c>
      <c r="C53" s="66">
        <f>($B$14*67.3%)*52.5%</f>
        <v>3.8865749999999998E-2</v>
      </c>
      <c r="D53" s="66">
        <f>($B$14*67.3%)*35.1%</f>
        <v>2.5984530000000002E-2</v>
      </c>
      <c r="E53" s="66">
        <f>($B$14*67.3%)*12.4%</f>
        <v>9.1797200000000006E-3</v>
      </c>
      <c r="F53" s="66">
        <f>$C$14*32.7%</f>
        <v>1.2687600000000001</v>
      </c>
      <c r="G53" s="66">
        <f>($C$14*67.3%)*52.5%</f>
        <v>1.3709009999999999</v>
      </c>
      <c r="H53" s="66">
        <f>($C$14*67.3%)*35.1%</f>
        <v>0.91654523999999993</v>
      </c>
      <c r="I53" s="66">
        <f>($C$14*67.3%)*12.4%</f>
        <v>0.32379375999999993</v>
      </c>
      <c r="J53" s="66">
        <f>$D$14*32.7%</f>
        <v>5.9841000000000006</v>
      </c>
      <c r="K53" s="66">
        <f>($D$14*67.3%)*52.5%</f>
        <v>6.4658474999999997</v>
      </c>
      <c r="L53" s="66">
        <f>($D$14*67.3%)*35.1%</f>
        <v>4.3228809000000004</v>
      </c>
      <c r="M53" s="66">
        <f>($D$14*67.3%)*12.4%</f>
        <v>1.5271716</v>
      </c>
      <c r="N53" s="66">
        <f>$E$14*32.7%</f>
        <v>14.03157</v>
      </c>
      <c r="O53" s="66">
        <f>($E$14*67.3%)*52.5%</f>
        <v>15.161175749999998</v>
      </c>
      <c r="P53" s="66">
        <f>($E$14*67.3%)*35.1%</f>
        <v>10.136328929999999</v>
      </c>
      <c r="Q53" s="66">
        <f>($E$14*67.3%)*12.4%</f>
        <v>3.5809253199999991</v>
      </c>
      <c r="R53" s="66">
        <f>$F$14*32.7%</f>
        <v>36.633810000000004</v>
      </c>
      <c r="S53" s="66">
        <f>($F$14*67.3%)*52.5%</f>
        <v>39.582999749999999</v>
      </c>
      <c r="T53" s="66">
        <f>($F$14*67.3%)*35.1%</f>
        <v>26.464062689999999</v>
      </c>
      <c r="U53" s="66">
        <f>($F$14*67.3%)*12.4%</f>
        <v>9.3491275599999994</v>
      </c>
      <c r="V53" s="66">
        <f>$G$14*32.7%</f>
        <v>67.090589999999992</v>
      </c>
      <c r="W53" s="66">
        <f>($G$14*67.3%)*52.5%</f>
        <v>72.491690249999991</v>
      </c>
      <c r="X53" s="66">
        <f>($G$14*67.3%)*35.1%</f>
        <v>48.465872909999995</v>
      </c>
      <c r="Y53" s="66">
        <f>($G$14*67.3%)*12.4%</f>
        <v>17.121846839999996</v>
      </c>
      <c r="Z53" s="65" t="s">
        <v>55</v>
      </c>
    </row>
    <row r="54" spans="1:26">
      <c r="A54" s="432" t="s">
        <v>36</v>
      </c>
      <c r="B54" s="66">
        <f>$B$15*27.4%</f>
        <v>6.5759999999999985E-2</v>
      </c>
      <c r="C54" s="66">
        <f>($B$15*72.6%)*59.3%</f>
        <v>0.10332431999999998</v>
      </c>
      <c r="D54" s="66">
        <f>($B$15*72.6%)*19.5%</f>
        <v>3.3976799999999995E-2</v>
      </c>
      <c r="E54" s="66">
        <f>($B$15*72.6%)*21.2%</f>
        <v>3.6938879999999993E-2</v>
      </c>
      <c r="F54" s="66">
        <f>$C$15*27.4%</f>
        <v>2.3207800000000001</v>
      </c>
      <c r="G54" s="66">
        <f>($C$15*72.6%)*59.3%</f>
        <v>3.6464874600000003</v>
      </c>
      <c r="H54" s="66">
        <f>($C$15*72.6%)*19.5%</f>
        <v>1.1990979000000002</v>
      </c>
      <c r="I54" s="66">
        <f>($C$15*72.6%)*21.2%</f>
        <v>1.3036346400000001</v>
      </c>
      <c r="J54" s="66">
        <f>$D$15*27.4%</f>
        <v>3.3482799999999999</v>
      </c>
      <c r="K54" s="66">
        <f>($D$15*72.6%)*59.3%</f>
        <v>5.2609299599999995</v>
      </c>
      <c r="L54" s="66">
        <f>($D$15*72.6%)*19.5%</f>
        <v>1.7299854000000001</v>
      </c>
      <c r="M54" s="66">
        <f>($D$15*72.6%)*21.2%</f>
        <v>1.8808046399999998</v>
      </c>
      <c r="N54" s="66">
        <f>$E$15*27.4%</f>
        <v>4.6525199999999991</v>
      </c>
      <c r="O54" s="66">
        <f>($E$15*72.6%)*59.3%</f>
        <v>7.310195639999999</v>
      </c>
      <c r="P54" s="66">
        <f>($E$15*72.6%)*19.5%</f>
        <v>2.4038586</v>
      </c>
      <c r="Q54" s="66">
        <f>($E$15*72.6%)*21.2%</f>
        <v>2.6134257599999997</v>
      </c>
      <c r="R54" s="66">
        <f>$F$15*27.4%</f>
        <v>6.2718599999999993</v>
      </c>
      <c r="S54" s="66">
        <f>($F$15*72.6%)*59.3%</f>
        <v>9.8545570199999997</v>
      </c>
      <c r="T54" s="66">
        <f>($F$15*72.6%)*19.5%</f>
        <v>3.2405373000000002</v>
      </c>
      <c r="U54" s="66">
        <f>($F$15*72.6%)*21.2%</f>
        <v>3.5230456800000001</v>
      </c>
      <c r="V54" s="66">
        <f>$G$15*27.4%</f>
        <v>8.2446599999999997</v>
      </c>
      <c r="W54" s="66">
        <f>($G$15*72.6%)*59.3%</f>
        <v>12.95428662</v>
      </c>
      <c r="X54" s="66">
        <f>($G$15*72.6%)*19.5%</f>
        <v>4.2598413000000006</v>
      </c>
      <c r="Y54" s="66">
        <f>($G$15*72.6%)*21.2%</f>
        <v>4.6312120800000001</v>
      </c>
      <c r="Z54" s="433" t="s">
        <v>56</v>
      </c>
    </row>
    <row r="55" spans="1:26">
      <c r="A55" s="70" t="s">
        <v>37</v>
      </c>
      <c r="B55" s="66">
        <f>$B$16*32.7%</f>
        <v>3.5970000000000002E-2</v>
      </c>
      <c r="C55" s="66">
        <f>($B$16*67.3%)*52.5%</f>
        <v>3.8865749999999998E-2</v>
      </c>
      <c r="D55" s="66">
        <f>($B$16*67.3%)*35.1%</f>
        <v>2.5984530000000002E-2</v>
      </c>
      <c r="E55" s="66">
        <f>($B$16*67.3%)*12.4%</f>
        <v>9.1797200000000006E-3</v>
      </c>
      <c r="F55" s="66">
        <f>$C$16*32.7%</f>
        <v>1.2687600000000001</v>
      </c>
      <c r="G55" s="66">
        <f>($C$16*67.3%)*52.5%</f>
        <v>1.3709009999999999</v>
      </c>
      <c r="H55" s="66">
        <f>($C$16*67.3%)*35.1%</f>
        <v>0.91654523999999993</v>
      </c>
      <c r="I55" s="66">
        <f>($C$16*67.3%)*12.4%</f>
        <v>0.32379375999999993</v>
      </c>
      <c r="J55" s="66">
        <f>$D$16*32.7%</f>
        <v>5.9841000000000006</v>
      </c>
      <c r="K55" s="66">
        <f>($D$16*67.3%)*52.5%</f>
        <v>6.4658474999999997</v>
      </c>
      <c r="L55" s="66">
        <f>($D$16*67.3%)*35.1%</f>
        <v>4.3228809000000004</v>
      </c>
      <c r="M55" s="66">
        <f>($D$16*67.3%)*12.4%</f>
        <v>1.5271716</v>
      </c>
      <c r="N55" s="66">
        <f>$E$16*32.7%</f>
        <v>14.03157</v>
      </c>
      <c r="O55" s="66">
        <f>($E$16*67.3%)*52.5%</f>
        <v>15.161175749999998</v>
      </c>
      <c r="P55" s="66">
        <f>($E$16*67.3%)*35.1%</f>
        <v>10.136328929999999</v>
      </c>
      <c r="Q55" s="66">
        <f>($E$16*67.3%)*12.4%</f>
        <v>3.5809253199999991</v>
      </c>
      <c r="R55" s="66">
        <f>$F$16*32.7%</f>
        <v>36.633810000000004</v>
      </c>
      <c r="S55" s="66">
        <f>($F$16*67.3%)*52.5%</f>
        <v>39.582999749999999</v>
      </c>
      <c r="T55" s="66">
        <f>($F$16*67.3%)*35.1%</f>
        <v>26.464062689999999</v>
      </c>
      <c r="U55" s="66">
        <f>($F$16*67.3%)*12.4%</f>
        <v>9.3491275599999994</v>
      </c>
      <c r="V55" s="66">
        <f>$G$16*32.7%</f>
        <v>67.090589999999992</v>
      </c>
      <c r="W55" s="66">
        <f>($G$16*67.3%)*52.5%</f>
        <v>72.491690249999991</v>
      </c>
      <c r="X55" s="66">
        <f>($G$16*67.3%)*35.1%</f>
        <v>48.465872909999995</v>
      </c>
      <c r="Y55" s="66">
        <f>($G$16*67.3%)*12.4%</f>
        <v>17.121846839999996</v>
      </c>
      <c r="Z55" s="433" t="s">
        <v>55</v>
      </c>
    </row>
    <row r="56" spans="1:26">
      <c r="A56" s="70" t="s">
        <v>38</v>
      </c>
      <c r="B56" s="66">
        <f>$B$17*32.7%</f>
        <v>3.5970000000000002E-2</v>
      </c>
      <c r="C56" s="66">
        <f>($B$17*67.3%)*52.5%</f>
        <v>3.8865749999999998E-2</v>
      </c>
      <c r="D56" s="66">
        <f>($B$17*67.3%)*35.1%</f>
        <v>2.5984530000000002E-2</v>
      </c>
      <c r="E56" s="66">
        <f>($B$17*67.3%)*12.4%</f>
        <v>9.1797200000000006E-3</v>
      </c>
      <c r="F56" s="66">
        <f>$C$17*32.7%</f>
        <v>1.2687600000000001</v>
      </c>
      <c r="G56" s="66">
        <f>($C$17*67.3%)*52.5%</f>
        <v>1.3709009999999999</v>
      </c>
      <c r="H56" s="66">
        <f>($C$17*67.3%)*35.1%</f>
        <v>0.91654523999999993</v>
      </c>
      <c r="I56" s="66">
        <f>($C$17*67.3%)*12.4%</f>
        <v>0.32379375999999993</v>
      </c>
      <c r="J56" s="66">
        <f>$D$17*32.7%</f>
        <v>5.9841000000000006</v>
      </c>
      <c r="K56" s="66">
        <f>($D$17*67.3%)*52.5%</f>
        <v>6.4658474999999997</v>
      </c>
      <c r="L56" s="66">
        <f>($D$17*67.3%)*35.1%</f>
        <v>4.3228809000000004</v>
      </c>
      <c r="M56" s="66">
        <f>($D$17*67.3%)*12.4%</f>
        <v>1.5271716</v>
      </c>
      <c r="N56" s="66">
        <f>$E$17*32.7%</f>
        <v>14.03157</v>
      </c>
      <c r="O56" s="66">
        <f>($E$17*67.3%)*52.5%</f>
        <v>15.161175749999998</v>
      </c>
      <c r="P56" s="66">
        <f>($E$17*67.3%)*35.1%</f>
        <v>10.136328929999999</v>
      </c>
      <c r="Q56" s="66">
        <f>($E$17*67.3%)*12.4%</f>
        <v>3.5809253199999991</v>
      </c>
      <c r="R56" s="66">
        <f>$F$17*32.7%</f>
        <v>36.633810000000004</v>
      </c>
      <c r="S56" s="66">
        <f>($F$17*67.3%)*52.5%</f>
        <v>39.582999749999999</v>
      </c>
      <c r="T56" s="66">
        <f>($F$17*67.3%)*35.1%</f>
        <v>26.464062689999999</v>
      </c>
      <c r="U56" s="66">
        <f>($F$17*67.3%)*12.4%</f>
        <v>9.3491275599999994</v>
      </c>
      <c r="V56" s="66">
        <f>$G$17*32.7%</f>
        <v>67.090589999999992</v>
      </c>
      <c r="W56" s="66">
        <f>($G$17*67.3%)*52.5%</f>
        <v>72.491690249999991</v>
      </c>
      <c r="X56" s="66">
        <f>($G$17*67.3%)*35.1%</f>
        <v>48.465872909999995</v>
      </c>
      <c r="Y56" s="66">
        <f>($G$17*67.3%)*12.4%</f>
        <v>17.121846839999996</v>
      </c>
      <c r="Z56" s="433" t="s">
        <v>55</v>
      </c>
    </row>
    <row r="57" spans="1:26">
      <c r="A57" s="70" t="s">
        <v>39</v>
      </c>
      <c r="B57" s="66">
        <f>$B$18*32.7%</f>
        <v>3.5970000000000002E-2</v>
      </c>
      <c r="C57" s="66">
        <f>($B$18*67.3%)*52.5%</f>
        <v>3.8865749999999998E-2</v>
      </c>
      <c r="D57" s="66">
        <f>($B$18*67.3%)*35.1%</f>
        <v>2.5984530000000002E-2</v>
      </c>
      <c r="E57" s="66">
        <f>($B$18*67.3%)*12.4%</f>
        <v>9.1797200000000006E-3</v>
      </c>
      <c r="F57" s="66">
        <f>$C$18*32.7%</f>
        <v>1.2687600000000001</v>
      </c>
      <c r="G57" s="66">
        <f>($C$18*67.3%)*52.5%</f>
        <v>1.3709009999999999</v>
      </c>
      <c r="H57" s="66">
        <f>($C$18*67.3%)*35.1%</f>
        <v>0.91654523999999993</v>
      </c>
      <c r="I57" s="66">
        <f>($C$18*67.3%)*12.4%</f>
        <v>0.32379375999999993</v>
      </c>
      <c r="J57" s="66">
        <f>$D$18*32.7%</f>
        <v>5.9841000000000006</v>
      </c>
      <c r="K57" s="66">
        <f>($D$18*67.3%)*52.5%</f>
        <v>6.4658474999999997</v>
      </c>
      <c r="L57" s="66">
        <f>($D$18*67.3%)*35.1%</f>
        <v>4.3228809000000004</v>
      </c>
      <c r="M57" s="66">
        <f>($D$18*67.3%)*12.4%</f>
        <v>1.5271716</v>
      </c>
      <c r="N57" s="66">
        <f>$E$18*32.7%</f>
        <v>14.03157</v>
      </c>
      <c r="O57" s="66">
        <f>($E$18*67.3%)*52.5%</f>
        <v>15.161175749999998</v>
      </c>
      <c r="P57" s="66">
        <f>($E$18*67.3%)*35.1%</f>
        <v>10.136328929999999</v>
      </c>
      <c r="Q57" s="66">
        <f>($E$18*67.3%)*12.4%</f>
        <v>3.5809253199999991</v>
      </c>
      <c r="R57" s="66">
        <f>$F$18*32.7%</f>
        <v>36.633810000000004</v>
      </c>
      <c r="S57" s="66">
        <f>($F$18*67.3%)*52.5%</f>
        <v>39.582999749999999</v>
      </c>
      <c r="T57" s="66">
        <f>($F$18*67.3%)*35.1%</f>
        <v>26.464062689999999</v>
      </c>
      <c r="U57" s="66">
        <f>($F$18*67.3%)*12.4%</f>
        <v>9.3491275599999994</v>
      </c>
      <c r="V57" s="66">
        <f>$G$18*32.7%</f>
        <v>67.090589999999992</v>
      </c>
      <c r="W57" s="66">
        <f>($G$18*67.3%)*52.5%</f>
        <v>72.491690249999991</v>
      </c>
      <c r="X57" s="66">
        <f>($G$18*67.3%)*35.1%</f>
        <v>48.465872909999995</v>
      </c>
      <c r="Y57" s="66">
        <f>($G$18*67.3%)*12.4%</f>
        <v>17.121846839999996</v>
      </c>
      <c r="Z57" s="433" t="s">
        <v>55</v>
      </c>
    </row>
    <row r="58" spans="1:26">
      <c r="A58" s="70" t="s">
        <v>40</v>
      </c>
      <c r="B58" s="66">
        <f>$B$19*31.4%</f>
        <v>3.4540000000000001E-2</v>
      </c>
      <c r="C58" s="66">
        <f>($B$19*68.6%)*28.6%</f>
        <v>2.1581560000000003E-2</v>
      </c>
      <c r="D58" s="66">
        <f>($B$19*68.6%)*55.9%</f>
        <v>4.2182139999999993E-2</v>
      </c>
      <c r="E58" s="66">
        <f>($B$19*68.6%)*15.5%</f>
        <v>1.16963E-2</v>
      </c>
      <c r="F58" s="66">
        <f>$C$19*31.4%</f>
        <v>1.2183200000000001</v>
      </c>
      <c r="G58" s="66">
        <f>($C$19*68.6%)*28.6%</f>
        <v>0.76124048</v>
      </c>
      <c r="H58" s="66">
        <f>($C$19*68.6%)*55.9%</f>
        <v>1.4878791199999997</v>
      </c>
      <c r="I58" s="66">
        <f>($C$19*68.6%)*15.5%</f>
        <v>0.41256039999999994</v>
      </c>
      <c r="J58" s="66">
        <f>$D$19*31.4%</f>
        <v>5.7336400000000003</v>
      </c>
      <c r="K58" s="66">
        <f>($D$19*68.6%)*28.6%</f>
        <v>3.5825389600000004</v>
      </c>
      <c r="L58" s="66">
        <f>($D$19*68.6%)*55.9%</f>
        <v>7.0022352399999992</v>
      </c>
      <c r="M58" s="66">
        <f>($D$19*68.6%)*15.5%</f>
        <v>1.9415858000000001</v>
      </c>
      <c r="N58" s="66">
        <f>$E$19*31.4%</f>
        <v>12.246</v>
      </c>
      <c r="O58" s="66">
        <f>($E$19*68.6%)*28.6%</f>
        <v>7.6516440000000001</v>
      </c>
      <c r="P58" s="66">
        <f>($E$19*68.6%)*55.9%</f>
        <v>14.955485999999997</v>
      </c>
      <c r="Q58" s="66">
        <f>($E$19*68.6%)*15.5%</f>
        <v>4.1468699999999998</v>
      </c>
      <c r="R58" s="66">
        <f>$F$19*31.4%</f>
        <v>15.304360000000001</v>
      </c>
      <c r="S58" s="66">
        <f>($F$19*68.6%)*28.6%</f>
        <v>9.5625930400000012</v>
      </c>
      <c r="T58" s="66">
        <f>($F$19*68.6%)*55.9%</f>
        <v>18.690522759999997</v>
      </c>
      <c r="U58" s="66">
        <f>($F$19*68.6%)*15.5%</f>
        <v>5.1825241999999996</v>
      </c>
      <c r="V58" s="66">
        <f>$G$19*31.4%</f>
        <v>26.401119999999999</v>
      </c>
      <c r="W58" s="66">
        <f>($G$19*68.6%)*28.6%</f>
        <v>16.496159679999998</v>
      </c>
      <c r="X58" s="66">
        <f>($G$19*68.6%)*55.9%</f>
        <v>32.242493919999994</v>
      </c>
      <c r="Y58" s="66">
        <f>($G$19*68.6%)*15.5%</f>
        <v>8.9402263999999985</v>
      </c>
      <c r="Z58" s="433" t="s">
        <v>55</v>
      </c>
    </row>
    <row r="59" spans="1:26">
      <c r="A59" s="70" t="s">
        <v>41</v>
      </c>
      <c r="B59" s="66">
        <f>$B$20*32.7%</f>
        <v>4.9050000000000003E-2</v>
      </c>
      <c r="C59" s="66">
        <f>($B$20*67.3%)*52.5%</f>
        <v>5.2998749999999997E-2</v>
      </c>
      <c r="D59" s="66">
        <f>($B$20*67.3%)*35.1%</f>
        <v>3.5433449999999998E-2</v>
      </c>
      <c r="E59" s="66">
        <f>($B$20*67.3%)*12.4%</f>
        <v>1.2517799999999997E-2</v>
      </c>
      <c r="F59" s="66">
        <f>$C$20*32.7%</f>
        <v>1.72983</v>
      </c>
      <c r="G59" s="66">
        <f>($C$20*67.3%)*52.5%</f>
        <v>1.86908925</v>
      </c>
      <c r="H59" s="66">
        <f>($C$20*67.3%)*35.1%</f>
        <v>1.24961967</v>
      </c>
      <c r="I59" s="66">
        <f>($C$20*67.3%)*12.4%</f>
        <v>0.44146107999999995</v>
      </c>
      <c r="J59" s="66">
        <f>$D$20*32.7%</f>
        <v>9.6890099999999997</v>
      </c>
      <c r="K59" s="66">
        <f>($D$20*67.3%)*52.5%</f>
        <v>10.469019749999998</v>
      </c>
      <c r="L59" s="66">
        <f>($D$20*67.3%)*35.1%</f>
        <v>6.9992874899999995</v>
      </c>
      <c r="M59" s="66">
        <f>($D$20*67.3%)*12.4%</f>
        <v>2.4726827599999996</v>
      </c>
      <c r="N59" s="66">
        <f>$E$20*32.7%</f>
        <v>25.27056</v>
      </c>
      <c r="O59" s="66">
        <f>($E$20*67.3%)*52.5%</f>
        <v>27.304956000000001</v>
      </c>
      <c r="P59" s="66">
        <f>($E$20*67.3%)*35.1%</f>
        <v>18.255313440000002</v>
      </c>
      <c r="Q59" s="66">
        <f>($E$20*67.3%)*12.4%</f>
        <v>6.4491705599999998</v>
      </c>
      <c r="R59" s="66">
        <f>$F$20*32.7%</f>
        <v>48.915930000000003</v>
      </c>
      <c r="S59" s="66">
        <f>($F$20*67.3%)*52.5%</f>
        <v>52.853886749999994</v>
      </c>
      <c r="T59" s="66">
        <f>($F$20*67.3%)*35.1%</f>
        <v>35.33659857</v>
      </c>
      <c r="U59" s="66">
        <f>($F$20*67.3%)*12.4%</f>
        <v>12.483584679999998</v>
      </c>
      <c r="V59" s="66">
        <f>$G$20*32.7%</f>
        <v>80.664360000000002</v>
      </c>
      <c r="W59" s="66">
        <f>($G$20*67.3%)*52.5%</f>
        <v>87.158210999999994</v>
      </c>
      <c r="X59" s="66">
        <f>($G$20*67.3%)*35.1%</f>
        <v>58.271489640000006</v>
      </c>
      <c r="Y59" s="66">
        <f>($G$20*67.3%)*12.4%</f>
        <v>20.585939359999998</v>
      </c>
      <c r="Z59" s="433" t="s">
        <v>55</v>
      </c>
    </row>
    <row r="60" spans="1:26">
      <c r="A60" s="434" t="s">
        <v>42</v>
      </c>
      <c r="B60" s="66">
        <f>$B$21*23.6%</f>
        <v>1.1800000000000001E-2</v>
      </c>
      <c r="C60" s="66">
        <f>($B$21*76.4%)*48.4%</f>
        <v>1.8488800000000003E-2</v>
      </c>
      <c r="D60" s="66">
        <f>($B$21*76.4%)*23.8%</f>
        <v>9.0916000000000018E-3</v>
      </c>
      <c r="E60" s="66">
        <f>($B$21*76.4%)*27.8%</f>
        <v>1.0619600000000002E-2</v>
      </c>
      <c r="F60" s="66">
        <f>$C$21*23.6%</f>
        <v>0.45075999999999999</v>
      </c>
      <c r="G60" s="66">
        <f>($C$21*76.4%)*48.4%</f>
        <v>0.70627215999999993</v>
      </c>
      <c r="H60" s="66">
        <f>($C$21*76.4%)*23.8%</f>
        <v>0.34729912000000002</v>
      </c>
      <c r="I60" s="66">
        <f>($C$21*76.4%)*27.8%</f>
        <v>0.40566871999999998</v>
      </c>
      <c r="J60" s="66">
        <f>$D$21*23.6%</f>
        <v>1.7676400000000001</v>
      </c>
      <c r="K60" s="66">
        <f>($D$21*76.4%)*48.4%</f>
        <v>2.7696222399999999</v>
      </c>
      <c r="L60" s="66">
        <f>($D$21*76.4%)*23.8%</f>
        <v>1.36192168</v>
      </c>
      <c r="M60" s="66">
        <f>($D$21*76.4%)*27.8%</f>
        <v>1.5908160800000002</v>
      </c>
      <c r="N60" s="66">
        <f>$E$21*23.6%</f>
        <v>4.1418000000000008</v>
      </c>
      <c r="O60" s="66">
        <f>($E$21*76.4%)*48.4%</f>
        <v>6.4895687999999998</v>
      </c>
      <c r="P60" s="66">
        <f>($E$21*76.4%)*23.8%</f>
        <v>3.1911516000000004</v>
      </c>
      <c r="Q60" s="66">
        <f>($E$21*76.4%)*27.8%</f>
        <v>3.7274796000000006</v>
      </c>
      <c r="R60" s="66">
        <f>$F$21*23.6%</f>
        <v>7.6888800000000002</v>
      </c>
      <c r="S60" s="66">
        <f>($F$21*76.4%)*48.4%</f>
        <v>12.04730208</v>
      </c>
      <c r="T60" s="66">
        <f>($F$21*76.4%)*23.8%</f>
        <v>5.924086560000001</v>
      </c>
      <c r="U60" s="66">
        <f>($F$21*76.4%)*27.8%</f>
        <v>6.919731360000001</v>
      </c>
      <c r="V60" s="66">
        <f>$G$21*23.6%</f>
        <v>12.482040000000001</v>
      </c>
      <c r="W60" s="66">
        <f>($G$21*76.4%)*48.4%</f>
        <v>19.557452640000001</v>
      </c>
      <c r="X60" s="66">
        <f>($G$21*76.4%)*23.8%</f>
        <v>9.6170944800000022</v>
      </c>
      <c r="Y60" s="66">
        <f>($G$21*76.4%)*27.8%</f>
        <v>11.233412880000001</v>
      </c>
      <c r="Z60" s="433" t="s">
        <v>56</v>
      </c>
    </row>
    <row r="61" spans="1:26">
      <c r="A61" s="70" t="s">
        <v>43</v>
      </c>
      <c r="B61" s="66">
        <f>$B$22*22.1%</f>
        <v>7.9559999999999992E-2</v>
      </c>
      <c r="C61" s="66">
        <f>($B$22*77.9%)*79.5%</f>
        <v>0.22294980000000003</v>
      </c>
      <c r="D61" s="66">
        <f>($B$22*77.9%)*6.5%</f>
        <v>1.8228600000000001E-2</v>
      </c>
      <c r="E61" s="66">
        <f>($B$22*77.9%)*14%</f>
        <v>3.9261600000000008E-2</v>
      </c>
      <c r="F61" s="66">
        <f>$C$22*22.1%</f>
        <v>2.85311</v>
      </c>
      <c r="G61" s="66">
        <f>($C$22*77.9%)*79.5%</f>
        <v>7.995227550000001</v>
      </c>
      <c r="H61" s="66">
        <f>($C$22*77.9%)*6.5%</f>
        <v>0.65369785000000014</v>
      </c>
      <c r="I61" s="66">
        <f>($C$22*77.9%)*14%</f>
        <v>1.4079646000000003</v>
      </c>
      <c r="J61" s="66">
        <f>$D$22*22.1%</f>
        <v>7.2731099999999991</v>
      </c>
      <c r="K61" s="66">
        <f>($D$22*77.9%)*79.5%</f>
        <v>20.381327549999998</v>
      </c>
      <c r="L61" s="66">
        <f>($D$22*77.9%)*6.5%</f>
        <v>1.6663978499999998</v>
      </c>
      <c r="M61" s="66">
        <f>($D$22*77.9%)*14%</f>
        <v>3.5891646000000001</v>
      </c>
      <c r="N61" s="66">
        <f>$E$22*22.1%</f>
        <v>14.174939999999999</v>
      </c>
      <c r="O61" s="66">
        <f>($E$22*77.9%)*79.5%</f>
        <v>39.722222700000003</v>
      </c>
      <c r="P61" s="66">
        <f>($E$22*77.9%)*6.5%</f>
        <v>3.2477289000000003</v>
      </c>
      <c r="Q61" s="66">
        <f>($E$22*77.9%)*14%</f>
        <v>6.9951084000000012</v>
      </c>
      <c r="R61" s="66">
        <f>$F$22*22.1%</f>
        <v>23.750869999999999</v>
      </c>
      <c r="S61" s="66">
        <f>($F$22*77.9%)*79.5%</f>
        <v>66.556708350000008</v>
      </c>
      <c r="T61" s="66">
        <f>($F$22*77.9%)*6.5%</f>
        <v>5.4417434500000006</v>
      </c>
      <c r="U61" s="66">
        <f>($F$22*77.9%)*14%</f>
        <v>11.720678200000002</v>
      </c>
      <c r="V61" s="66">
        <f>$G$22*22.1%</f>
        <v>36.113610000000001</v>
      </c>
      <c r="W61" s="66">
        <f>($G$22*77.9%)*79.5%</f>
        <v>101.20063005</v>
      </c>
      <c r="X61" s="66">
        <f>($G$22*77.9%)*6.5%</f>
        <v>8.2742653500000003</v>
      </c>
      <c r="Y61" s="66">
        <f>($G$22*77.9%)*14%</f>
        <v>17.821494600000001</v>
      </c>
      <c r="Z61" s="433" t="s">
        <v>56</v>
      </c>
    </row>
    <row r="62" spans="1:26">
      <c r="A62" s="434" t="s">
        <v>44</v>
      </c>
      <c r="B62" s="66">
        <f>$B$23*15.5%</f>
        <v>2.6350000000000002E-2</v>
      </c>
      <c r="C62" s="66">
        <f>($B$23*84.5%)*43.1%</f>
        <v>6.191315E-2</v>
      </c>
      <c r="D62" s="66">
        <f>($B$23*84.5%)*34.5%</f>
        <v>4.9559249999999999E-2</v>
      </c>
      <c r="E62" s="66">
        <f>($B$23*84.5%)*22.4%</f>
        <v>3.2177599999999994E-2</v>
      </c>
      <c r="F62" s="66">
        <f>$C$23*15.5%</f>
        <v>0.95479999999999998</v>
      </c>
      <c r="G62" s="66">
        <f>($C$23*84.5%)*43.1%</f>
        <v>2.2434411999999999</v>
      </c>
      <c r="H62" s="66">
        <f>($C$23*84.5%)*34.5%</f>
        <v>1.7957939999999997</v>
      </c>
      <c r="I62" s="66">
        <f>($C$23*84.5%)*22.4%</f>
        <v>1.1659647999999998</v>
      </c>
      <c r="J62" s="66">
        <f>$D$23*15.5%</f>
        <v>2.9294999999999995</v>
      </c>
      <c r="K62" s="66">
        <f>($D$23*84.5%)*43.1%</f>
        <v>6.8832854999999986</v>
      </c>
      <c r="L62" s="66">
        <f>($D$23*84.5%)*34.5%</f>
        <v>5.5098224999999985</v>
      </c>
      <c r="M62" s="66">
        <f>($D$23*84.5%)*22.4%</f>
        <v>3.5773919999999992</v>
      </c>
      <c r="N62" s="66">
        <f>$E$23*15.5%</f>
        <v>6.2557999999999998</v>
      </c>
      <c r="O62" s="66">
        <f>($E$23*84.5%)*43.1%</f>
        <v>14.698910199999998</v>
      </c>
      <c r="P62" s="66">
        <f>($E$23*84.5%)*34.5%</f>
        <v>11.765948999999999</v>
      </c>
      <c r="Q62" s="66">
        <f>($E$23*84.5%)*22.4%</f>
        <v>7.6393407999999985</v>
      </c>
      <c r="R62" s="66">
        <f>$F$23*15.5%</f>
        <v>11.085599999999999</v>
      </c>
      <c r="S62" s="66">
        <f>($F$23*84.5%)*43.1%</f>
        <v>26.0472264</v>
      </c>
      <c r="T62" s="66">
        <f>($F$23*84.5%)*34.5%</f>
        <v>20.849867999999997</v>
      </c>
      <c r="U62" s="66">
        <f>($F$23*84.5%)*22.4%</f>
        <v>13.537305599999998</v>
      </c>
      <c r="V62" s="66">
        <f>$G$23*15.5%</f>
        <v>17.522749999999998</v>
      </c>
      <c r="W62" s="66">
        <f>($G$23*84.5%)*43.1%</f>
        <v>41.172244749999997</v>
      </c>
      <c r="X62" s="66">
        <f>($G$23*84.5%)*34.5%</f>
        <v>32.956901249999994</v>
      </c>
      <c r="Y62" s="66">
        <f>($G$23*84.5%)*22.4%</f>
        <v>21.398103999999996</v>
      </c>
      <c r="Z62" s="433" t="s">
        <v>56</v>
      </c>
    </row>
    <row r="63" spans="1:26">
      <c r="A63" s="70" t="s">
        <v>45</v>
      </c>
      <c r="B63" s="66">
        <f>$B$24*32.7%</f>
        <v>4.9050000000000003E-2</v>
      </c>
      <c r="C63" s="66">
        <f>($B$24*67.3%)*52.5%</f>
        <v>5.2998749999999997E-2</v>
      </c>
      <c r="D63" s="66">
        <f>($B$24*67.3%)*35.1%</f>
        <v>3.5433449999999998E-2</v>
      </c>
      <c r="E63" s="66">
        <f>($B$24*67.3%)*12.4%</f>
        <v>1.2517799999999997E-2</v>
      </c>
      <c r="F63" s="66">
        <f>$C$24*32.7%</f>
        <v>1.7821500000000001</v>
      </c>
      <c r="G63" s="66">
        <f>($C$24*67.3%)*52.5%</f>
        <v>1.9256212499999998</v>
      </c>
      <c r="H63" s="66">
        <f>($C$24*67.3%)*35.1%</f>
        <v>1.2874153500000001</v>
      </c>
      <c r="I63" s="66">
        <f>($C$24*67.3%)*12.4%</f>
        <v>0.45481339999999992</v>
      </c>
      <c r="J63" s="66">
        <f>$D$24*32.7%</f>
        <v>8.6295300000000008</v>
      </c>
      <c r="K63" s="66">
        <f>($D$24*67.3%)*52.5%</f>
        <v>9.3242467499999986</v>
      </c>
      <c r="L63" s="66">
        <f>($D$24*67.3%)*35.1%</f>
        <v>6.2339249700000003</v>
      </c>
      <c r="M63" s="66">
        <f>($D$24*67.3%)*12.4%</f>
        <v>2.2022982799999999</v>
      </c>
      <c r="N63" s="66">
        <f>$E$24*32.7%</f>
        <v>21.990750000000002</v>
      </c>
      <c r="O63" s="66">
        <f>($E$24*67.3%)*52.5%</f>
        <v>23.761106249999997</v>
      </c>
      <c r="P63" s="66">
        <f>($E$24*67.3%)*35.1%</f>
        <v>15.88599675</v>
      </c>
      <c r="Q63" s="66">
        <f>($E$24*67.3%)*12.4%</f>
        <v>5.6121469999999993</v>
      </c>
      <c r="R63" s="66">
        <f>$F$24*32.7%</f>
        <v>42.552509999999998</v>
      </c>
      <c r="S63" s="66">
        <f>($F$24*67.3%)*52.5%</f>
        <v>45.978182249999996</v>
      </c>
      <c r="T63" s="66">
        <f>($F$24*67.3%)*35.1%</f>
        <v>30.739698989999997</v>
      </c>
      <c r="U63" s="66">
        <f>($F$24*67.3%)*12.4%</f>
        <v>10.859608759999999</v>
      </c>
      <c r="V63" s="66">
        <f>$G$24*32.7%</f>
        <v>70.618920000000003</v>
      </c>
      <c r="W63" s="66">
        <f>($G$24*67.3%)*52.5%</f>
        <v>76.304066999999989</v>
      </c>
      <c r="X63" s="66">
        <f>($G$24*67.3%)*35.1%</f>
        <v>51.014719079999999</v>
      </c>
      <c r="Y63" s="66">
        <f>($G$24*67.3%)*12.4%</f>
        <v>18.022293919999996</v>
      </c>
      <c r="Z63" s="433" t="s">
        <v>55</v>
      </c>
    </row>
    <row r="64" spans="1:26">
      <c r="A64" s="70" t="s">
        <v>46</v>
      </c>
      <c r="B64" s="66">
        <f>$B$25*24%</f>
        <v>0.3024</v>
      </c>
      <c r="C64" s="66">
        <f>($B$25*76%)*69.8%</f>
        <v>0.66840479999999991</v>
      </c>
      <c r="D64" s="66">
        <f>($B$25*76%)*18.2%</f>
        <v>0.1742832</v>
      </c>
      <c r="E64" s="66">
        <f>($B$25*76%)*12%</f>
        <v>0.114912</v>
      </c>
      <c r="F64" s="66">
        <f>$C$25*24%</f>
        <v>10.7376</v>
      </c>
      <c r="G64" s="66">
        <f>($C$25*76%)*69.8%</f>
        <v>23.7336752</v>
      </c>
      <c r="H64" s="66">
        <f>($C$25*76%)*18.2%</f>
        <v>6.1884367999999998</v>
      </c>
      <c r="I64" s="66">
        <f>($C$25*76%)*12%</f>
        <v>4.0802880000000004</v>
      </c>
      <c r="J64" s="66">
        <f>$D$25*24%</f>
        <v>33.6768</v>
      </c>
      <c r="K64" s="66">
        <f>($D$25*76%)*69.8%</f>
        <v>74.436953599999995</v>
      </c>
      <c r="L64" s="66">
        <f>($D$25*76%)*18.2%</f>
        <v>19.4090624</v>
      </c>
      <c r="M64" s="66">
        <f>($D$25*76%)*12%</f>
        <v>12.797183999999998</v>
      </c>
      <c r="N64" s="66">
        <f>$E$25*24%</f>
        <v>70.593599999999995</v>
      </c>
      <c r="O64" s="66">
        <f>($E$25*76%)*69.8%</f>
        <v>156.0353872</v>
      </c>
      <c r="P64" s="66">
        <f>($E$25*76%)*18.2%</f>
        <v>40.685444799999999</v>
      </c>
      <c r="Q64" s="66">
        <f>($E$25*76%)*12%</f>
        <v>26.825568000000001</v>
      </c>
      <c r="R64" s="66">
        <f>$F$25*24%</f>
        <v>121.6056</v>
      </c>
      <c r="S64" s="66">
        <f>($F$25*76%)*69.8%</f>
        <v>268.78891119999997</v>
      </c>
      <c r="T64" s="66">
        <f>($F$25*76%)*18.2%</f>
        <v>70.085360800000004</v>
      </c>
      <c r="U64" s="66">
        <f>($F$25*76%)*12%</f>
        <v>46.210127999999997</v>
      </c>
      <c r="V64" s="66">
        <f>$G$25*24%</f>
        <v>186.39599999999999</v>
      </c>
      <c r="W64" s="66">
        <f>($G$25*76%)*69.8%</f>
        <v>411.99729199999996</v>
      </c>
      <c r="X64" s="66">
        <f>($G$25*76%)*18.2%</f>
        <v>107.42622799999999</v>
      </c>
      <c r="Y64" s="66">
        <f>($G$25*76%)*12%</f>
        <v>70.830479999999994</v>
      </c>
      <c r="Z64" s="433" t="s">
        <v>55</v>
      </c>
    </row>
    <row r="65" spans="1:26">
      <c r="A65" s="70" t="s">
        <v>47</v>
      </c>
      <c r="B65" s="66">
        <f>$B$26*32.7%</f>
        <v>3.9239999999999997E-2</v>
      </c>
      <c r="C65" s="66">
        <f>($B$26*67.3%)*52.5%</f>
        <v>4.2398999999999992E-2</v>
      </c>
      <c r="D65" s="66">
        <f>($B$26*67.3%)*35.1%</f>
        <v>2.8346759999999999E-2</v>
      </c>
      <c r="E65" s="66">
        <f>($B$26*67.3%)*12.4%</f>
        <v>1.0014239999999997E-2</v>
      </c>
      <c r="F65" s="66">
        <f>$C$26*32.7%</f>
        <v>1.44861</v>
      </c>
      <c r="G65" s="66">
        <f>($C$26*67.3%)*52.5%</f>
        <v>1.5652297499999996</v>
      </c>
      <c r="H65" s="66">
        <f>($C$26*67.3%)*35.1%</f>
        <v>1.04646789</v>
      </c>
      <c r="I65" s="66">
        <f>($C$26*67.3%)*12.4%</f>
        <v>0.36969235999999989</v>
      </c>
      <c r="J65" s="66">
        <f>$D$26*32.7%</f>
        <v>6.7460100000000001</v>
      </c>
      <c r="K65" s="66">
        <f>($D$26*67.3%)*52.5%</f>
        <v>7.2890947499999985</v>
      </c>
      <c r="L65" s="66">
        <f>($D$26*67.3%)*35.1%</f>
        <v>4.8732804899999991</v>
      </c>
      <c r="M65" s="66">
        <f>($D$26*67.3%)*12.4%</f>
        <v>1.7216147599999996</v>
      </c>
      <c r="N65" s="66">
        <f>$E$26*32.7%</f>
        <v>16.82742</v>
      </c>
      <c r="O65" s="66">
        <f>($E$26*67.3%)*52.5%</f>
        <v>18.182104499999998</v>
      </c>
      <c r="P65" s="66">
        <f>($E$26*67.3%)*35.1%</f>
        <v>12.156035580000001</v>
      </c>
      <c r="Q65" s="66">
        <f>($E$26*67.3%)*12.4%</f>
        <v>4.2944399199999994</v>
      </c>
      <c r="R65" s="66">
        <f>$F$26*32.7%</f>
        <v>32.078699999999998</v>
      </c>
      <c r="S65" s="66">
        <f>($F$26*67.3%)*52.5%</f>
        <v>34.661182500000002</v>
      </c>
      <c r="T65" s="66">
        <f>($F$26*67.3%)*35.1%</f>
        <v>23.173476300000001</v>
      </c>
      <c r="U65" s="66">
        <f>($F$26*67.3%)*12.4%</f>
        <v>8.1866412000000004</v>
      </c>
      <c r="V65" s="66">
        <f>$G$26*32.7%</f>
        <v>52.607759999999999</v>
      </c>
      <c r="W65" s="66">
        <f>($G$26*67.3%)*52.5%</f>
        <v>56.842925999999991</v>
      </c>
      <c r="X65" s="66">
        <f>($G$26*67.3%)*35.1%</f>
        <v>38.003556239999995</v>
      </c>
      <c r="Y65" s="66">
        <f>($G$26*67.3%)*12.4%</f>
        <v>13.425757759999998</v>
      </c>
      <c r="Z65" s="433" t="s">
        <v>55</v>
      </c>
    </row>
    <row r="66" spans="1:26">
      <c r="A66" s="70" t="s">
        <v>48</v>
      </c>
      <c r="B66" s="66">
        <f>$B$27*32.7%</f>
        <v>4.2510000000000006E-2</v>
      </c>
      <c r="C66" s="66">
        <f>($B$27*67.3%)*52.5%</f>
        <v>4.5932250000000001E-2</v>
      </c>
      <c r="D66" s="66">
        <f>($B$27*67.3%)*35.1%</f>
        <v>3.0708990000000002E-2</v>
      </c>
      <c r="E66" s="66">
        <f>($B$27*67.3%)*12.4%</f>
        <v>1.0848759999999999E-2</v>
      </c>
      <c r="F66" s="66">
        <f>$C$27*32.7%</f>
        <v>1.5303599999999999</v>
      </c>
      <c r="G66" s="66">
        <f>($C$27*67.3%)*52.5%</f>
        <v>1.6535609999999996</v>
      </c>
      <c r="H66" s="66">
        <f>($C$27*67.3%)*35.1%</f>
        <v>1.1055236399999999</v>
      </c>
      <c r="I66" s="66">
        <f>($C$27*67.3%)*12.4%</f>
        <v>0.39055535999999991</v>
      </c>
      <c r="J66" s="66">
        <f>$D$27*32.7%</f>
        <v>7.1580300000000001</v>
      </c>
      <c r="K66" s="66">
        <f>($D$27*67.3%)*52.5%</f>
        <v>7.73428425</v>
      </c>
      <c r="L66" s="66">
        <f>($D$27*67.3%)*35.1%</f>
        <v>5.1709214699999997</v>
      </c>
      <c r="M66" s="66">
        <f>($D$27*67.3%)*12.4%</f>
        <v>1.8267642799999999</v>
      </c>
      <c r="N66" s="66">
        <f>$E$27*32.7%</f>
        <v>17.824770000000001</v>
      </c>
      <c r="O66" s="66">
        <f>($E$27*67.3%)*52.5%</f>
        <v>19.25974575</v>
      </c>
      <c r="P66" s="66">
        <f>($E$27*67.3%)*35.1%</f>
        <v>12.876515729999999</v>
      </c>
      <c r="Q66" s="66">
        <f>($E$27*67.3%)*12.4%</f>
        <v>4.5489685199999998</v>
      </c>
      <c r="R66" s="66">
        <f>$F$27*32.7%</f>
        <v>33.86412</v>
      </c>
      <c r="S66" s="66">
        <f>($F$27*67.3%)*52.5%</f>
        <v>36.590336999999998</v>
      </c>
      <c r="T66" s="66">
        <f>($F$27*67.3%)*35.1%</f>
        <v>24.46325388</v>
      </c>
      <c r="U66" s="66">
        <f>($F$27*67.3%)*12.4%</f>
        <v>8.6422891199999992</v>
      </c>
      <c r="V66" s="66">
        <f>$G$27*32.7%</f>
        <v>55.338209999999997</v>
      </c>
      <c r="W66" s="66">
        <f>($G$27*67.3%)*52.5%</f>
        <v>59.793189749999996</v>
      </c>
      <c r="X66" s="66">
        <f>($G$27*67.3%)*35.1%</f>
        <v>39.976018289999999</v>
      </c>
      <c r="Y66" s="66">
        <f>($G$27*67.3%)*12.4%</f>
        <v>14.122581959999998</v>
      </c>
      <c r="Z66" s="433" t="s">
        <v>55</v>
      </c>
    </row>
    <row r="67" spans="1:26">
      <c r="A67" s="70" t="s">
        <v>49</v>
      </c>
      <c r="B67" s="66">
        <f>$B$28*32.7%</f>
        <v>3.9239999999999997E-2</v>
      </c>
      <c r="C67" s="66">
        <f>($B$28*67.3%)*52.5%</f>
        <v>4.2398999999999992E-2</v>
      </c>
      <c r="D67" s="66">
        <f>($B$28*67.3%)*35.1%</f>
        <v>2.8346759999999999E-2</v>
      </c>
      <c r="E67" s="66">
        <f>($B$28*67.3%)*12.4%</f>
        <v>1.0014239999999997E-2</v>
      </c>
      <c r="F67" s="66">
        <f>$C$28*32.7%</f>
        <v>1.4191800000000001</v>
      </c>
      <c r="G67" s="66">
        <f>($C$28*67.3%)*52.5%</f>
        <v>1.5334304999999999</v>
      </c>
      <c r="H67" s="66">
        <f>($C$28*67.3%)*35.1%</f>
        <v>1.0252078199999999</v>
      </c>
      <c r="I67" s="66">
        <f>($C$28*67.3%)*12.4%</f>
        <v>0.36218167999999995</v>
      </c>
      <c r="J67" s="66">
        <f>$D$28*32.7%</f>
        <v>6.7002299999999995</v>
      </c>
      <c r="K67" s="66">
        <f>($D$28*67.3%)*52.5%</f>
        <v>7.2396292499999992</v>
      </c>
      <c r="L67" s="66">
        <f>($D$28*67.3%)*35.1%</f>
        <v>4.8402092699999999</v>
      </c>
      <c r="M67" s="66">
        <f>($D$28*67.3%)*12.4%</f>
        <v>1.7099314799999996</v>
      </c>
      <c r="N67" s="66">
        <f>$E$28*32.7%</f>
        <v>16.97784</v>
      </c>
      <c r="O67" s="66">
        <f>($E$28*67.3%)*52.5%</f>
        <v>18.344633999999999</v>
      </c>
      <c r="P67" s="66">
        <f>($E$28*67.3%)*35.1%</f>
        <v>12.26469816</v>
      </c>
      <c r="Q67" s="66">
        <f>($E$28*67.3%)*12.4%</f>
        <v>4.3328278399999993</v>
      </c>
      <c r="R67" s="66">
        <f>$F$28*32.7%</f>
        <v>32.870040000000003</v>
      </c>
      <c r="S67" s="66">
        <f>($F$28*67.3%)*52.5%</f>
        <v>35.516228999999996</v>
      </c>
      <c r="T67" s="66">
        <f>($F$28*67.3%)*35.1%</f>
        <v>23.745135959999999</v>
      </c>
      <c r="U67" s="66">
        <f>($F$28*67.3%)*12.4%</f>
        <v>8.3885950399999984</v>
      </c>
      <c r="V67" s="66">
        <f>$G$28*32.7%</f>
        <v>54.703829999999996</v>
      </c>
      <c r="W67" s="66">
        <f>($G$28*67.3%)*52.5%</f>
        <v>59.107739249999995</v>
      </c>
      <c r="X67" s="66">
        <f>($G$28*67.3%)*35.1%</f>
        <v>39.517745669999996</v>
      </c>
      <c r="Y67" s="66">
        <f>($G$28*67.3%)*12.4%</f>
        <v>13.960685079999998</v>
      </c>
      <c r="Z67" s="433" t="s">
        <v>55</v>
      </c>
    </row>
    <row r="68" spans="1:26">
      <c r="A68" s="432" t="s">
        <v>50</v>
      </c>
      <c r="B68" s="66">
        <f>$B$29*27.4%</f>
        <v>2.1919999999999999E-2</v>
      </c>
      <c r="C68" s="66">
        <f>($B$29*72.6%)*59.3%</f>
        <v>3.4441439999999997E-2</v>
      </c>
      <c r="D68" s="66">
        <f>($B$29*72.6%)*19.5%</f>
        <v>1.13256E-2</v>
      </c>
      <c r="E68" s="66">
        <f>($B$29*72.6%)*21.2%</f>
        <v>1.231296E-2</v>
      </c>
      <c r="F68" s="66">
        <f>$C$29*27.4%</f>
        <v>0.73705999999999994</v>
      </c>
      <c r="G68" s="66">
        <f>($C$29*72.6%)*59.3%</f>
        <v>1.1580934199999999</v>
      </c>
      <c r="H68" s="66">
        <f>($C$29*72.6%)*19.5%</f>
        <v>0.38082329999999998</v>
      </c>
      <c r="I68" s="66">
        <f>($C$29*72.6%)*21.2%</f>
        <v>0.41402327999999999</v>
      </c>
      <c r="J68" s="66">
        <f>$D$29*27.4%</f>
        <v>2.8578199999999994</v>
      </c>
      <c r="K68" s="66">
        <f>($D$29*72.6%)*59.3%</f>
        <v>4.4903027399999997</v>
      </c>
      <c r="L68" s="66">
        <f>($D$29*72.6%)*19.5%</f>
        <v>1.4765751</v>
      </c>
      <c r="M68" s="66">
        <f>($D$29*72.6%)*21.2%</f>
        <v>1.6053021599999999</v>
      </c>
      <c r="N68" s="66">
        <f>$E$29*27.4%</f>
        <v>6.0142999999999986</v>
      </c>
      <c r="O68" s="66">
        <f>($E$29*72.6%)*59.3%</f>
        <v>9.4498700999999983</v>
      </c>
      <c r="P68" s="66">
        <f>($E$29*72.6%)*19.5%</f>
        <v>3.1074614999999999</v>
      </c>
      <c r="Q68" s="66">
        <f>($E$29*72.6%)*21.2%</f>
        <v>3.3783683999999998</v>
      </c>
      <c r="R68" s="66">
        <f>$F$29*27.4%</f>
        <v>10.069499999999998</v>
      </c>
      <c r="S68" s="66">
        <f>($F$29*72.6%)*59.3%</f>
        <v>15.821536499999999</v>
      </c>
      <c r="T68" s="66">
        <f>($F$29*72.6%)*19.5%</f>
        <v>5.2026975000000002</v>
      </c>
      <c r="U68" s="66">
        <f>($F$29*72.6%)*21.2%</f>
        <v>5.6562659999999996</v>
      </c>
      <c r="V68" s="66">
        <f>$G$29*27.4%</f>
        <v>14.943959999999997</v>
      </c>
      <c r="W68" s="66">
        <f>($G$29*72.6%)*59.3%</f>
        <v>23.480451719999994</v>
      </c>
      <c r="X68" s="66">
        <f>($G$29*72.6%)*19.5%</f>
        <v>7.7212277999999994</v>
      </c>
      <c r="Y68" s="66">
        <f>($G$29*72.6%)*21.2%</f>
        <v>8.3943604799999996</v>
      </c>
      <c r="Z68" s="433" t="s">
        <v>56</v>
      </c>
    </row>
    <row r="69" spans="1:26">
      <c r="A69" s="70" t="s">
        <v>51</v>
      </c>
      <c r="B69" s="66">
        <f>$B$30*32.7%</f>
        <v>5.5590000000000007E-2</v>
      </c>
      <c r="C69" s="66">
        <f>($B$30*67.3%)*52.5%</f>
        <v>6.0065250000000001E-2</v>
      </c>
      <c r="D69" s="66">
        <f>($B$30*67.3%)*35.1%</f>
        <v>4.0157910000000005E-2</v>
      </c>
      <c r="E69" s="66">
        <f>($B$30*67.3%)*12.4%</f>
        <v>1.4186839999999999E-2</v>
      </c>
      <c r="F69" s="66">
        <f>$C$30*32.7%</f>
        <v>1.9881600000000001</v>
      </c>
      <c r="G69" s="66">
        <f>($C$30*67.3%)*52.5%</f>
        <v>2.1482159999999997</v>
      </c>
      <c r="H69" s="66">
        <f>($C$30*67.3%)*35.1%</f>
        <v>1.4362358399999999</v>
      </c>
      <c r="I69" s="66">
        <f>($C$30*67.3%)*12.4%</f>
        <v>0.50738815999999998</v>
      </c>
      <c r="J69" s="66">
        <f>$D$30*32.7%</f>
        <v>8.7799500000000013</v>
      </c>
      <c r="K69" s="66">
        <f>($D$30*67.3%)*52.5%</f>
        <v>9.4867762500000001</v>
      </c>
      <c r="L69" s="66">
        <f>($D$30*67.3%)*35.1%</f>
        <v>6.3425875500000002</v>
      </c>
      <c r="M69" s="66">
        <f>($D$30*67.3%)*12.4%</f>
        <v>2.2406861999999999</v>
      </c>
      <c r="N69" s="66">
        <f>$E$30*32.7%</f>
        <v>20.597730000000002</v>
      </c>
      <c r="O69" s="66">
        <f>($E$30*67.3%)*52.5%</f>
        <v>22.255941749999998</v>
      </c>
      <c r="P69" s="66">
        <f>($E$30*67.3%)*35.1%</f>
        <v>14.879686769999999</v>
      </c>
      <c r="Q69" s="66">
        <f>($E$30*67.3%)*12.4%</f>
        <v>5.2566414799999999</v>
      </c>
      <c r="R69" s="66">
        <f>$F$30*32.7%</f>
        <v>37.232219999999998</v>
      </c>
      <c r="S69" s="66">
        <f>($F$30*67.3%)*52.5%</f>
        <v>40.229584499999994</v>
      </c>
      <c r="T69" s="66">
        <f>($F$30*67.3%)*35.1%</f>
        <v>26.896350779999999</v>
      </c>
      <c r="U69" s="66">
        <f>($F$30*67.3%)*12.4%</f>
        <v>9.5018447199999976</v>
      </c>
      <c r="V69" s="66">
        <f>$G$30*32.7%</f>
        <v>58.490490000000001</v>
      </c>
      <c r="W69" s="66">
        <f>($G$30*67.3%)*52.5%</f>
        <v>63.199242750000003</v>
      </c>
      <c r="X69" s="66">
        <f>($G$30*67.3%)*35.1%</f>
        <v>42.253208010000002</v>
      </c>
      <c r="Y69" s="66">
        <f>($G$30*67.3%)*12.4%</f>
        <v>14.92705924</v>
      </c>
      <c r="Z69" s="433" t="s">
        <v>55</v>
      </c>
    </row>
    <row r="70" spans="1:26">
      <c r="A70" s="70" t="s">
        <v>52</v>
      </c>
      <c r="B70" s="66">
        <f>$B$31*32.7%</f>
        <v>5.2320000000000005E-2</v>
      </c>
      <c r="C70" s="66">
        <f>($B$31*67.3%)*52.5%</f>
        <v>5.6531999999999999E-2</v>
      </c>
      <c r="D70" s="66">
        <f>($B$31*67.3%)*35.1%</f>
        <v>3.7795680000000005E-2</v>
      </c>
      <c r="E70" s="66">
        <f>($B$31*67.3%)*12.4%</f>
        <v>1.3352319999999999E-2</v>
      </c>
      <c r="F70" s="66">
        <f>$C$31*32.7%</f>
        <v>1.8442799999999999</v>
      </c>
      <c r="G70" s="66">
        <f>($C$31*67.3%)*52.5%</f>
        <v>1.9927529999999998</v>
      </c>
      <c r="H70" s="66">
        <f>($C$31*67.3%)*35.1%</f>
        <v>1.3322977199999999</v>
      </c>
      <c r="I70" s="66">
        <f>($C$31*67.3%)*12.4%</f>
        <v>0.47066927999999991</v>
      </c>
      <c r="J70" s="66">
        <f>$D$31*32.7%</f>
        <v>4.2575399999999997</v>
      </c>
      <c r="K70" s="66">
        <f>($D$31*67.3%)*52.5%</f>
        <v>4.6002915</v>
      </c>
      <c r="L70" s="66">
        <f>($D$31*67.3%)*35.1%</f>
        <v>3.0756234600000001</v>
      </c>
      <c r="M70" s="66">
        <f>($D$31*67.3%)*12.4%</f>
        <v>1.0865450399999999</v>
      </c>
      <c r="N70" s="66">
        <f>$E$31*32.7%</f>
        <v>9.3718199999999996</v>
      </c>
      <c r="O70" s="66">
        <f>($E$31*67.3%)*52.5%</f>
        <v>10.126294499999998</v>
      </c>
      <c r="P70" s="66">
        <f>($E$31*67.3%)*35.1%</f>
        <v>6.77015118</v>
      </c>
      <c r="Q70" s="66">
        <f>($E$31*67.3%)*12.4%</f>
        <v>2.3917343199999994</v>
      </c>
      <c r="R70" s="66">
        <f>$F$31*32.7%</f>
        <v>21.784740000000003</v>
      </c>
      <c r="S70" s="66">
        <f>($F$31*67.3%)*52.5%</f>
        <v>23.538511499999998</v>
      </c>
      <c r="T70" s="66">
        <f>($F$31*67.3%)*35.1%</f>
        <v>15.73717626</v>
      </c>
      <c r="U70" s="66">
        <f>($F$31*67.3%)*12.4%</f>
        <v>5.5595722399999996</v>
      </c>
      <c r="V70" s="66">
        <f>$G$31*32.7%</f>
        <v>26.14038</v>
      </c>
      <c r="W70" s="66">
        <f>($G$31*67.3%)*52.5%</f>
        <v>28.244800499999997</v>
      </c>
      <c r="X70" s="66">
        <f>($G$31*67.3%)*35.1%</f>
        <v>18.88366662</v>
      </c>
      <c r="Y70" s="66">
        <f>($G$31*67.3%)*12.4%</f>
        <v>6.6711528799999984</v>
      </c>
      <c r="Z70" s="433" t="s">
        <v>55</v>
      </c>
    </row>
    <row r="71" spans="1:26" ht="15.75" thickBot="1">
      <c r="A71" s="435" t="s">
        <v>53</v>
      </c>
      <c r="B71" s="436">
        <f>$B$32*27.4%</f>
        <v>4.9319999999999989E-2</v>
      </c>
      <c r="C71" s="436">
        <f>($B$32*72.6%)*59.3%</f>
        <v>7.7493239999999991E-2</v>
      </c>
      <c r="D71" s="436">
        <f>($B$32*72.6%)*19.5%</f>
        <v>2.5482599999999998E-2</v>
      </c>
      <c r="E71" s="436">
        <f>($B$32*72.6%)*21.2%</f>
        <v>2.7704159999999999E-2</v>
      </c>
      <c r="F71" s="436">
        <f>$C$32*27.4%</f>
        <v>1.7261999999999997</v>
      </c>
      <c r="G71" s="436">
        <f>($C$32*72.6%)*59.3%</f>
        <v>2.7122633999999994</v>
      </c>
      <c r="H71" s="436">
        <f>($C$32*72.6%)*19.5%</f>
        <v>0.89189099999999988</v>
      </c>
      <c r="I71" s="436">
        <f>($C$32*72.6%)*21.2%</f>
        <v>0.96964559999999989</v>
      </c>
      <c r="J71" s="436">
        <f>$D$32*27.4%</f>
        <v>3.9839599999999993</v>
      </c>
      <c r="K71" s="436">
        <f>($D$32*72.6%)*59.3%</f>
        <v>6.2597317199999996</v>
      </c>
      <c r="L71" s="436">
        <f>($D$32*72.6%)*19.5%</f>
        <v>2.0584278</v>
      </c>
      <c r="M71" s="436">
        <f>($D$32*72.6%)*21.2%</f>
        <v>2.2378804799999998</v>
      </c>
      <c r="N71" s="436">
        <f>$E$32*27.4%</f>
        <v>8.7214199999999984</v>
      </c>
      <c r="O71" s="436">
        <f>($E$32*72.6%)*59.3%</f>
        <v>13.703387939999997</v>
      </c>
      <c r="P71" s="436">
        <f>($E$32*72.6%)*19.5%</f>
        <v>4.5061730999999998</v>
      </c>
      <c r="Q71" s="436">
        <f>($E$32*72.6%)*21.2%</f>
        <v>4.8990189599999994</v>
      </c>
      <c r="R71" s="436">
        <f>$F$32*27.4%</f>
        <v>13.239679999999998</v>
      </c>
      <c r="S71" s="436">
        <f>($F$32*72.6%)*59.3%</f>
        <v>20.802629759999999</v>
      </c>
      <c r="T71" s="436">
        <f>($F$32*72.6%)*19.5%</f>
        <v>6.8406624000000003</v>
      </c>
      <c r="U71" s="436">
        <f>($F$32*72.6%)*21.2%</f>
        <v>7.4370278399999998</v>
      </c>
      <c r="V71" s="436">
        <f>$G$32*27.4%</f>
        <v>15.886519999999997</v>
      </c>
      <c r="W71" s="436">
        <f>($G$32*72.6%)*59.3%</f>
        <v>24.961433639999999</v>
      </c>
      <c r="X71" s="436">
        <f>($G$32*72.6%)*19.5%</f>
        <v>8.2082286</v>
      </c>
      <c r="Y71" s="436">
        <f>($G$32*72.6%)*21.2%</f>
        <v>8.9238177600000004</v>
      </c>
      <c r="Z71" s="437" t="s">
        <v>55</v>
      </c>
    </row>
    <row r="73" spans="1:26">
      <c r="A73" s="28" t="s">
        <v>22</v>
      </c>
      <c r="B73" s="29"/>
      <c r="C73" s="29"/>
      <c r="D73" s="29"/>
      <c r="E73" s="29"/>
      <c r="F73" s="29"/>
      <c r="G73" s="29"/>
    </row>
    <row r="74" spans="1:26" s="30" customFormat="1">
      <c r="A74" s="42"/>
    </row>
    <row r="75" spans="1:26" ht="15.75" thickBot="1">
      <c r="A75" s="43" t="s">
        <v>164</v>
      </c>
    </row>
    <row r="76" spans="1:26">
      <c r="A76" s="31" t="s">
        <v>84</v>
      </c>
      <c r="B76" s="32" t="s">
        <v>160</v>
      </c>
      <c r="C76" s="32" t="s">
        <v>161</v>
      </c>
      <c r="D76" s="32" t="s">
        <v>162</v>
      </c>
      <c r="E76" s="72" t="s">
        <v>168</v>
      </c>
      <c r="F76" s="32" t="s">
        <v>92</v>
      </c>
      <c r="G76" s="71" t="s">
        <v>13</v>
      </c>
      <c r="H76" s="67" t="s">
        <v>16</v>
      </c>
      <c r="I76" s="67" t="s">
        <v>17</v>
      </c>
    </row>
    <row r="77" spans="1:26">
      <c r="A77" s="34" t="s">
        <v>85</v>
      </c>
      <c r="B77" s="80">
        <f>(($B$84)*H77)+(($B$90)*I77)</f>
        <v>41.477747866429922</v>
      </c>
      <c r="C77" s="80">
        <f>(($C$84)*H77)+(($C$90)*I77)</f>
        <v>0.11638696374362795</v>
      </c>
      <c r="D77" s="80">
        <f>(($D$84)*H77)+(($D$90)*I77)</f>
        <v>2.7492983561486917E-4</v>
      </c>
      <c r="E77" s="73">
        <v>4.48E-2</v>
      </c>
      <c r="F77" s="35" t="s">
        <v>163</v>
      </c>
      <c r="G77" s="36" t="s">
        <v>145</v>
      </c>
      <c r="I77">
        <f>E77/E90</f>
        <v>18.328655707657944</v>
      </c>
      <c r="L77" s="230"/>
    </row>
    <row r="78" spans="1:26">
      <c r="A78" s="34" t="s">
        <v>86</v>
      </c>
      <c r="B78" s="80">
        <f t="shared" ref="B78:B83" si="0">(($B$84)*H78)+(($B$90)*I78)</f>
        <v>63.888645963223382</v>
      </c>
      <c r="C78" s="80">
        <f t="shared" ref="C78:C83" si="1">(($C$84)*H78)+(($C$90)*I78)</f>
        <v>0.10487757925970882</v>
      </c>
      <c r="D78" s="80">
        <f t="shared" ref="D78:D83" si="2">(($D$84)*H78)+(($D$90)*I78)</f>
        <v>1.4112438660466651E-3</v>
      </c>
      <c r="E78" s="73">
        <v>6.7199999999999996E-2</v>
      </c>
      <c r="F78" s="35" t="s">
        <v>163</v>
      </c>
      <c r="G78" s="36" t="s">
        <v>145</v>
      </c>
      <c r="H78">
        <f>(E78*40%/E84)</f>
        <v>9.9470684956690842</v>
      </c>
      <c r="I78">
        <f>(E78*60%/E90)</f>
        <v>16.495790136892147</v>
      </c>
      <c r="L78" s="230"/>
    </row>
    <row r="79" spans="1:26">
      <c r="A79" s="34" t="s">
        <v>87</v>
      </c>
      <c r="B79" s="80">
        <f t="shared" si="0"/>
        <v>450.73820016613405</v>
      </c>
      <c r="C79" s="80">
        <f t="shared" si="1"/>
        <v>0.73991756439029699</v>
      </c>
      <c r="D79" s="80">
        <f t="shared" si="2"/>
        <v>9.9564094775702969E-3</v>
      </c>
      <c r="E79" s="73">
        <v>0.47410000000000002</v>
      </c>
      <c r="F79" s="35" t="s">
        <v>163</v>
      </c>
      <c r="G79" s="36" t="s">
        <v>145</v>
      </c>
      <c r="H79">
        <f>(E79*40%/E84)</f>
        <v>70.177160324355853</v>
      </c>
      <c r="I79">
        <f>(E79*60%/E90)</f>
        <v>116.37878130804415</v>
      </c>
      <c r="K79" s="23"/>
      <c r="L79" s="230"/>
    </row>
    <row r="80" spans="1:26">
      <c r="A80" s="34" t="s">
        <v>88</v>
      </c>
      <c r="B80" s="80">
        <f t="shared" si="0"/>
        <v>307.55918108783879</v>
      </c>
      <c r="C80" s="80">
        <f t="shared" si="1"/>
        <v>0.50487941801362812</v>
      </c>
      <c r="D80" s="80">
        <f t="shared" si="2"/>
        <v>6.7937111706264323E-3</v>
      </c>
      <c r="E80" s="73">
        <v>0.32350000000000001</v>
      </c>
      <c r="F80" s="35" t="s">
        <v>163</v>
      </c>
      <c r="G80" s="36" t="s">
        <v>145</v>
      </c>
      <c r="H80">
        <f>(E80*40%/E84)</f>
        <v>47.88506932066889</v>
      </c>
      <c r="I80">
        <f>(E80*60%/E90)</f>
        <v>79.410537340544792</v>
      </c>
      <c r="K80" s="23"/>
      <c r="L80" s="230"/>
    </row>
    <row r="81" spans="1:12">
      <c r="A81" s="34" t="s">
        <v>89</v>
      </c>
      <c r="B81" s="80">
        <f t="shared" si="0"/>
        <v>0.76079531697344016</v>
      </c>
      <c r="C81" s="80">
        <f t="shared" si="1"/>
        <v>3.7042468616684349E-6</v>
      </c>
      <c r="D81" s="80">
        <f t="shared" si="2"/>
        <v>3.3338221755015919E-5</v>
      </c>
      <c r="E81" s="74">
        <v>7.6999999999999996E-4</v>
      </c>
      <c r="F81" s="35" t="s">
        <v>163</v>
      </c>
      <c r="G81" s="36" t="s">
        <v>146</v>
      </c>
      <c r="H81">
        <f>E81/E84</f>
        <v>0.28494206628218732</v>
      </c>
      <c r="L81" s="230"/>
    </row>
    <row r="82" spans="1:12">
      <c r="A82" s="34" t="s">
        <v>90</v>
      </c>
      <c r="B82" s="80">
        <f t="shared" si="0"/>
        <v>0.80099999999999993</v>
      </c>
      <c r="C82" s="80">
        <f t="shared" si="1"/>
        <v>3.8999999999999999E-6</v>
      </c>
      <c r="D82" s="80">
        <f t="shared" si="2"/>
        <v>3.5099999999999999E-5</v>
      </c>
      <c r="E82" s="74">
        <f>H82*E84</f>
        <v>8.1069110999999999E-4</v>
      </c>
      <c r="F82" s="35" t="s">
        <v>163</v>
      </c>
      <c r="G82" s="36" t="s">
        <v>147</v>
      </c>
      <c r="H82" s="27">
        <f>12/40</f>
        <v>0.3</v>
      </c>
      <c r="J82" t="s">
        <v>165</v>
      </c>
      <c r="L82" s="230"/>
    </row>
    <row r="83" spans="1:12">
      <c r="A83" s="34" t="s">
        <v>91</v>
      </c>
      <c r="B83" s="80">
        <f t="shared" si="0"/>
        <v>57.672000000000004</v>
      </c>
      <c r="C83" s="80">
        <f t="shared" si="1"/>
        <v>2.8079999999999999E-4</v>
      </c>
      <c r="D83" s="80">
        <f t="shared" si="2"/>
        <v>2.5272000000000003E-3</v>
      </c>
      <c r="E83" s="74">
        <f>H83*E84</f>
        <v>5.836975992E-2</v>
      </c>
      <c r="F83" s="35" t="s">
        <v>163</v>
      </c>
      <c r="G83" s="36" t="s">
        <v>146</v>
      </c>
      <c r="H83">
        <f>1.8*12</f>
        <v>21.6</v>
      </c>
      <c r="J83" t="s">
        <v>166</v>
      </c>
      <c r="L83" s="230"/>
    </row>
    <row r="84" spans="1:12">
      <c r="A84" s="70" t="s">
        <v>148</v>
      </c>
      <c r="B84" s="77">
        <v>2.67</v>
      </c>
      <c r="C84" s="77">
        <v>1.2999999999999999E-5</v>
      </c>
      <c r="D84" s="77">
        <v>1.17E-4</v>
      </c>
      <c r="E84" s="73">
        <f>(B84+(C84*$B$135)+(D84*$B$136))/1000</f>
        <v>2.7023036999999999E-3</v>
      </c>
      <c r="F84" s="35" t="s">
        <v>163</v>
      </c>
      <c r="G84" s="36" t="s">
        <v>159</v>
      </c>
    </row>
    <row r="85" spans="1:12">
      <c r="A85" s="70" t="s">
        <v>149</v>
      </c>
      <c r="B85" s="75">
        <v>2.4689999999999999</v>
      </c>
      <c r="C85" s="75">
        <v>1.2999999999999999E-5</v>
      </c>
      <c r="D85" s="75">
        <v>1.16E-4</v>
      </c>
      <c r="E85" s="73">
        <f>(B85+(C85*$B$135)+(D85*$B$136))/1000</f>
        <v>2.5010306999999998E-3</v>
      </c>
      <c r="F85" s="35" t="s">
        <v>163</v>
      </c>
      <c r="G85" s="36" t="s">
        <v>159</v>
      </c>
    </row>
    <row r="86" spans="1:12">
      <c r="A86" s="70" t="s">
        <v>150</v>
      </c>
      <c r="B86" s="75">
        <v>2.3940000000000001</v>
      </c>
      <c r="C86" s="75">
        <v>1.2999999999999999E-5</v>
      </c>
      <c r="D86" s="75">
        <v>1.16E-4</v>
      </c>
      <c r="E86" s="73">
        <f t="shared" ref="E86:E94" si="3">(B86+(C86*$B$135)+(D86*$B$136))/1000</f>
        <v>2.4260307000000003E-3</v>
      </c>
      <c r="F86" s="35" t="s">
        <v>163</v>
      </c>
      <c r="G86" s="36" t="s">
        <v>159</v>
      </c>
    </row>
    <row r="87" spans="1:12">
      <c r="A87" s="70" t="s">
        <v>151</v>
      </c>
      <c r="B87" s="75">
        <v>2.1429999999999998</v>
      </c>
      <c r="C87" s="75">
        <v>1.2999999999999999E-5</v>
      </c>
      <c r="D87" s="75">
        <v>1.16E-4</v>
      </c>
      <c r="E87" s="73">
        <f t="shared" si="3"/>
        <v>2.1750306999999999E-3</v>
      </c>
      <c r="F87" s="35" t="s">
        <v>163</v>
      </c>
      <c r="G87" s="36" t="s">
        <v>159</v>
      </c>
    </row>
    <row r="88" spans="1:12">
      <c r="A88" s="70" t="s">
        <v>152</v>
      </c>
      <c r="B88" s="75">
        <v>1.8919999999999999</v>
      </c>
      <c r="C88" s="75">
        <v>1.2999999999999999E-5</v>
      </c>
      <c r="D88" s="75">
        <v>1.16E-4</v>
      </c>
      <c r="E88" s="73">
        <f t="shared" si="3"/>
        <v>1.9240306999999998E-3</v>
      </c>
      <c r="F88" s="35" t="s">
        <v>163</v>
      </c>
      <c r="G88" s="36" t="s">
        <v>159</v>
      </c>
    </row>
    <row r="89" spans="1:12">
      <c r="A89" s="34" t="s">
        <v>153</v>
      </c>
      <c r="B89" s="75">
        <v>0.13600000000000001</v>
      </c>
      <c r="C89" s="75">
        <v>1.2999999999999999E-5</v>
      </c>
      <c r="D89" s="75">
        <v>1.16E-4</v>
      </c>
      <c r="E89" s="73">
        <f t="shared" si="3"/>
        <v>1.680307E-4</v>
      </c>
      <c r="F89" s="35" t="s">
        <v>163</v>
      </c>
      <c r="G89" s="36" t="s">
        <v>159</v>
      </c>
    </row>
    <row r="90" spans="1:12">
      <c r="A90" s="70" t="s">
        <v>154</v>
      </c>
      <c r="B90" s="77">
        <v>2.2629999999999999</v>
      </c>
      <c r="C90" s="77">
        <v>6.3499999999999997E-3</v>
      </c>
      <c r="D90" s="77">
        <v>1.5E-5</v>
      </c>
      <c r="E90" s="73">
        <f t="shared" si="3"/>
        <v>2.4442599999999997E-3</v>
      </c>
      <c r="F90" s="35" t="s">
        <v>163</v>
      </c>
      <c r="G90" s="36" t="s">
        <v>159</v>
      </c>
    </row>
    <row r="91" spans="1:12">
      <c r="A91" s="70" t="s">
        <v>155</v>
      </c>
      <c r="B91" s="75">
        <v>2.1440000000000001</v>
      </c>
      <c r="C91" s="75">
        <v>6.3499999999999997E-3</v>
      </c>
      <c r="D91" s="75">
        <v>1.5E-5</v>
      </c>
      <c r="E91" s="73">
        <f t="shared" si="3"/>
        <v>2.32526E-3</v>
      </c>
      <c r="F91" s="35" t="s">
        <v>163</v>
      </c>
      <c r="G91" s="36" t="s">
        <v>159</v>
      </c>
    </row>
    <row r="92" spans="1:12">
      <c r="A92" s="70" t="s">
        <v>156</v>
      </c>
      <c r="B92" s="75">
        <v>0.35699999999999998</v>
      </c>
      <c r="C92" s="75">
        <v>6.3499999999999997E-3</v>
      </c>
      <c r="D92" s="75">
        <v>1.5E-5</v>
      </c>
      <c r="E92" s="73">
        <f t="shared" si="3"/>
        <v>5.3825999999999993E-4</v>
      </c>
      <c r="F92" s="35" t="s">
        <v>163</v>
      </c>
      <c r="G92" s="36" t="s">
        <v>159</v>
      </c>
    </row>
    <row r="93" spans="1:12">
      <c r="A93" s="70" t="s">
        <v>157</v>
      </c>
      <c r="B93" s="75">
        <v>0</v>
      </c>
      <c r="C93" s="75">
        <v>6.3499999999999997E-3</v>
      </c>
      <c r="D93" s="75">
        <v>1.5E-5</v>
      </c>
      <c r="E93" s="73">
        <f t="shared" si="3"/>
        <v>1.8125999999999998E-4</v>
      </c>
      <c r="F93" s="35" t="s">
        <v>163</v>
      </c>
      <c r="G93" s="36" t="s">
        <v>159</v>
      </c>
    </row>
    <row r="94" spans="1:12" ht="15.75" thickBot="1">
      <c r="A94" s="68" t="s">
        <v>158</v>
      </c>
      <c r="B94" s="78">
        <v>0.51</v>
      </c>
      <c r="C94" s="78"/>
      <c r="D94" s="78"/>
      <c r="E94" s="76">
        <f t="shared" si="3"/>
        <v>5.1000000000000004E-4</v>
      </c>
      <c r="F94" s="39" t="s">
        <v>163</v>
      </c>
      <c r="G94" s="41" t="s">
        <v>159</v>
      </c>
    </row>
    <row r="96" spans="1:12">
      <c r="A96" s="28" t="s">
        <v>23</v>
      </c>
      <c r="B96" s="29"/>
      <c r="C96" s="29"/>
      <c r="D96" s="29"/>
      <c r="E96" s="29"/>
      <c r="F96" s="29"/>
      <c r="G96" s="29"/>
    </row>
    <row r="97" spans="1:26" s="30" customFormat="1">
      <c r="A97" s="42"/>
    </row>
    <row r="98" spans="1:26" ht="15.75" thickBot="1">
      <c r="A98" s="43" t="s">
        <v>100</v>
      </c>
    </row>
    <row r="99" spans="1:26">
      <c r="A99" s="31"/>
      <c r="B99" s="32" t="s">
        <v>93</v>
      </c>
      <c r="C99" s="32"/>
      <c r="D99" s="32"/>
      <c r="E99" s="32"/>
      <c r="F99" s="32"/>
      <c r="G99" s="32"/>
      <c r="H99" s="32"/>
      <c r="I99" s="32"/>
      <c r="J99" s="32"/>
      <c r="K99" s="32"/>
      <c r="L99" s="32"/>
      <c r="M99" s="32"/>
      <c r="N99" s="32"/>
      <c r="O99" s="32"/>
      <c r="P99" s="32"/>
      <c r="Q99" s="32"/>
      <c r="R99" s="32"/>
      <c r="S99" s="32"/>
      <c r="T99" s="32"/>
      <c r="U99" s="32"/>
      <c r="V99" s="32"/>
      <c r="W99" s="32"/>
      <c r="X99" s="32"/>
      <c r="Y99" s="32"/>
      <c r="Z99" s="33"/>
    </row>
    <row r="100" spans="1:26">
      <c r="A100" s="34" t="s">
        <v>25</v>
      </c>
      <c r="B100" s="35" t="s">
        <v>60</v>
      </c>
      <c r="C100" s="35" t="s">
        <v>62</v>
      </c>
      <c r="D100" s="35" t="s">
        <v>61</v>
      </c>
      <c r="E100" s="35" t="s">
        <v>63</v>
      </c>
      <c r="F100" s="35" t="s">
        <v>64</v>
      </c>
      <c r="G100" s="35" t="s">
        <v>65</v>
      </c>
      <c r="H100" s="35" t="s">
        <v>66</v>
      </c>
      <c r="I100" s="35" t="s">
        <v>67</v>
      </c>
      <c r="J100" s="35" t="s">
        <v>68</v>
      </c>
      <c r="K100" s="35" t="s">
        <v>69</v>
      </c>
      <c r="L100" s="35" t="s">
        <v>70</v>
      </c>
      <c r="M100" s="35" t="s">
        <v>71</v>
      </c>
      <c r="N100" s="35" t="s">
        <v>72</v>
      </c>
      <c r="O100" s="35" t="s">
        <v>73</v>
      </c>
      <c r="P100" s="35" t="s">
        <v>74</v>
      </c>
      <c r="Q100" s="35" t="s">
        <v>75</v>
      </c>
      <c r="R100" s="35" t="s">
        <v>76</v>
      </c>
      <c r="S100" s="35" t="s">
        <v>77</v>
      </c>
      <c r="T100" s="35" t="s">
        <v>78</v>
      </c>
      <c r="U100" s="35" t="s">
        <v>79</v>
      </c>
      <c r="V100" s="35" t="s">
        <v>80</v>
      </c>
      <c r="W100" s="35" t="s">
        <v>81</v>
      </c>
      <c r="X100" s="35" t="s">
        <v>82</v>
      </c>
      <c r="Y100" s="35" t="s">
        <v>83</v>
      </c>
      <c r="Z100" s="36" t="s">
        <v>54</v>
      </c>
    </row>
    <row r="101" spans="1:26">
      <c r="A101" s="34" t="s">
        <v>27</v>
      </c>
      <c r="B101" s="35">
        <f>(B45/3.67)/0.5</f>
        <v>2.1384196185286104E-2</v>
      </c>
      <c r="C101" s="35">
        <f t="shared" ref="C101:Y101" si="4">(C45/3.67)/0.5</f>
        <v>2.3105722070844683E-2</v>
      </c>
      <c r="D101" s="35">
        <f t="shared" si="4"/>
        <v>1.5447825613079018E-2</v>
      </c>
      <c r="E101" s="35">
        <f t="shared" si="4"/>
        <v>5.4573514986376009E-3</v>
      </c>
      <c r="F101" s="35">
        <f t="shared" si="4"/>
        <v>0.76270299727520441</v>
      </c>
      <c r="G101" s="35">
        <f t="shared" si="4"/>
        <v>0.8241040871934604</v>
      </c>
      <c r="H101" s="35">
        <f t="shared" si="4"/>
        <v>0.55097244686648505</v>
      </c>
      <c r="I101" s="35">
        <f t="shared" si="4"/>
        <v>0.19464553678474114</v>
      </c>
      <c r="J101" s="35">
        <f t="shared" si="4"/>
        <v>2.0297166212534061</v>
      </c>
      <c r="K101" s="35">
        <f t="shared" si="4"/>
        <v>2.1931181198910084</v>
      </c>
      <c r="L101" s="35">
        <f t="shared" si="4"/>
        <v>1.4662561144414172</v>
      </c>
      <c r="M101" s="35">
        <f t="shared" si="4"/>
        <v>0.51799361307901914</v>
      </c>
      <c r="N101" s="35">
        <f t="shared" si="4"/>
        <v>4.5156294277929154</v>
      </c>
      <c r="O101" s="35">
        <f t="shared" si="4"/>
        <v>4.8791583106267025</v>
      </c>
      <c r="P101" s="35">
        <f t="shared" si="4"/>
        <v>3.2620658419618529</v>
      </c>
      <c r="Q101" s="35">
        <f t="shared" si="4"/>
        <v>1.1524107247956401</v>
      </c>
      <c r="R101" s="35">
        <f t="shared" si="4"/>
        <v>5.6454277929155321</v>
      </c>
      <c r="S101" s="35">
        <f t="shared" si="4"/>
        <v>6.0999106267029966</v>
      </c>
      <c r="T101" s="35">
        <f t="shared" si="4"/>
        <v>4.0782259618528611</v>
      </c>
      <c r="U101" s="35">
        <f t="shared" si="4"/>
        <v>1.4407407956403269</v>
      </c>
      <c r="V101" s="35">
        <f t="shared" si="4"/>
        <v>15.924098092643051</v>
      </c>
      <c r="W101" s="35">
        <f t="shared" si="4"/>
        <v>17.206061035422344</v>
      </c>
      <c r="X101" s="35">
        <f t="shared" si="4"/>
        <v>11.503480806539509</v>
      </c>
      <c r="Y101" s="35">
        <f t="shared" si="4"/>
        <v>4.0639077493188003</v>
      </c>
      <c r="Z101" s="36" t="s">
        <v>55</v>
      </c>
    </row>
    <row r="102" spans="1:26">
      <c r="A102" s="34" t="s">
        <v>28</v>
      </c>
      <c r="B102" s="35">
        <f>(B46/3.67)/0.475</f>
        <v>9.9239925426645656E-3</v>
      </c>
      <c r="C102" s="35">
        <f t="shared" ref="C102:Y102" si="5">(C46/3.67)/0.475</f>
        <v>5.2710167790047339E-3</v>
      </c>
      <c r="D102" s="35">
        <f t="shared" si="5"/>
        <v>1.0429485157034277E-2</v>
      </c>
      <c r="E102" s="35">
        <f t="shared" si="5"/>
        <v>3.0575648931593291E-3</v>
      </c>
      <c r="F102" s="35">
        <f t="shared" si="5"/>
        <v>0.35527893302739144</v>
      </c>
      <c r="G102" s="35">
        <f t="shared" si="5"/>
        <v>0.18870240068836946</v>
      </c>
      <c r="H102" s="35">
        <f t="shared" si="5"/>
        <v>0.37337556862182714</v>
      </c>
      <c r="I102" s="35">
        <f t="shared" si="5"/>
        <v>0.10946082317510399</v>
      </c>
      <c r="J102" s="35">
        <f t="shared" si="5"/>
        <v>1.5243252545532771</v>
      </c>
      <c r="K102" s="35">
        <f t="shared" si="5"/>
        <v>0.80962817725512704</v>
      </c>
      <c r="L102" s="35">
        <f t="shared" si="5"/>
        <v>1.6019689201204648</v>
      </c>
      <c r="M102" s="35">
        <f t="shared" si="5"/>
        <v>0.46964196758927296</v>
      </c>
      <c r="N102" s="35">
        <f t="shared" si="5"/>
        <v>3.6937100243797509</v>
      </c>
      <c r="O102" s="35">
        <f t="shared" si="5"/>
        <v>1.9618724451455618</v>
      </c>
      <c r="P102" s="35">
        <f t="shared" si="5"/>
        <v>3.881854375448158</v>
      </c>
      <c r="Q102" s="35">
        <f t="shared" si="5"/>
        <v>1.1380256532339024</v>
      </c>
      <c r="R102" s="35">
        <f t="shared" si="5"/>
        <v>6.9666427649505254</v>
      </c>
      <c r="S102" s="35">
        <f t="shared" si="5"/>
        <v>3.7002537788613226</v>
      </c>
      <c r="T102" s="35">
        <f t="shared" si="5"/>
        <v>7.3214985802380621</v>
      </c>
      <c r="U102" s="35">
        <f t="shared" si="5"/>
        <v>2.1464105549978494</v>
      </c>
      <c r="V102" s="35">
        <f t="shared" si="5"/>
        <v>11.406637028538652</v>
      </c>
      <c r="W102" s="35">
        <f t="shared" si="5"/>
        <v>6.058506685788041</v>
      </c>
      <c r="X102" s="35">
        <f t="shared" si="5"/>
        <v>11.987650239495197</v>
      </c>
      <c r="Y102" s="35">
        <f t="shared" si="5"/>
        <v>3.5143650881973332</v>
      </c>
      <c r="Z102" s="36" t="s">
        <v>55</v>
      </c>
    </row>
    <row r="103" spans="1:26">
      <c r="A103" s="34" t="s">
        <v>29</v>
      </c>
      <c r="B103" s="35">
        <f>(B47/3.67)/0.472</f>
        <v>2.5977924537015661E-3</v>
      </c>
      <c r="C103" s="35">
        <f t="shared" ref="C103:Y103" si="6">(C47/3.67)/0.472</f>
        <v>3.7402438461183215E-3</v>
      </c>
      <c r="D103" s="35">
        <f t="shared" si="6"/>
        <v>4.7692583013901075E-3</v>
      </c>
      <c r="E103" s="35">
        <f t="shared" si="6"/>
        <v>4.3844963746363097E-4</v>
      </c>
      <c r="F103" s="35">
        <f t="shared" si="6"/>
        <v>0.10521059437491342</v>
      </c>
      <c r="G103" s="35">
        <f t="shared" si="6"/>
        <v>0.15147987576779201</v>
      </c>
      <c r="H103" s="35">
        <f t="shared" si="6"/>
        <v>0.19315496120629935</v>
      </c>
      <c r="I103" s="35">
        <f t="shared" si="6"/>
        <v>1.7757210317277054E-2</v>
      </c>
      <c r="J103" s="35">
        <f t="shared" si="6"/>
        <v>0.4208423774996537</v>
      </c>
      <c r="K103" s="35">
        <f t="shared" si="6"/>
        <v>0.60591950307116804</v>
      </c>
      <c r="L103" s="35">
        <f t="shared" si="6"/>
        <v>0.77261984482519741</v>
      </c>
      <c r="M103" s="35">
        <f t="shared" si="6"/>
        <v>7.1028841269108217E-2</v>
      </c>
      <c r="N103" s="35">
        <f t="shared" si="6"/>
        <v>1.01184016071676</v>
      </c>
      <c r="O103" s="35">
        <f t="shared" si="6"/>
        <v>1.456824978063086</v>
      </c>
      <c r="P103" s="35">
        <f t="shared" si="6"/>
        <v>1.8576261083914469</v>
      </c>
      <c r="Q103" s="35">
        <f t="shared" si="6"/>
        <v>0.17077613379208428</v>
      </c>
      <c r="R103" s="35">
        <f t="shared" si="6"/>
        <v>1.931458689327114</v>
      </c>
      <c r="S103" s="35">
        <f t="shared" si="6"/>
        <v>2.7808712995889717</v>
      </c>
      <c r="T103" s="35">
        <f t="shared" si="6"/>
        <v>3.545943547083545</v>
      </c>
      <c r="U103" s="35">
        <f t="shared" si="6"/>
        <v>0.32598730545420962</v>
      </c>
      <c r="V103" s="35">
        <f t="shared" si="6"/>
        <v>3.2134692652288366</v>
      </c>
      <c r="W103" s="35">
        <f t="shared" si="6"/>
        <v>4.626681637648363</v>
      </c>
      <c r="X103" s="35">
        <f t="shared" si="6"/>
        <v>5.8995725188195625</v>
      </c>
      <c r="Y103" s="35">
        <f t="shared" si="6"/>
        <v>0.54236220154251147</v>
      </c>
      <c r="Z103" s="36" t="s">
        <v>55</v>
      </c>
    </row>
    <row r="104" spans="1:26">
      <c r="A104" s="34" t="s">
        <v>30</v>
      </c>
      <c r="B104" s="35">
        <f>(B48/3.67)/0.5</f>
        <v>2.3166212534059948E-2</v>
      </c>
      <c r="C104" s="35">
        <f t="shared" ref="C104:Y106" si="7">(C48/3.67)/0.5</f>
        <v>2.5031198910081744E-2</v>
      </c>
      <c r="D104" s="35">
        <f t="shared" si="7"/>
        <v>1.6735144414168939E-2</v>
      </c>
      <c r="E104" s="35">
        <f t="shared" si="7"/>
        <v>5.9121307901907356E-3</v>
      </c>
      <c r="F104" s="35">
        <f t="shared" si="7"/>
        <v>0.81794550408719358</v>
      </c>
      <c r="G104" s="35">
        <f t="shared" si="7"/>
        <v>0.88379386920980918</v>
      </c>
      <c r="H104" s="35">
        <f t="shared" si="7"/>
        <v>0.59087932970027246</v>
      </c>
      <c r="I104" s="35">
        <f t="shared" si="7"/>
        <v>0.20874369482288824</v>
      </c>
      <c r="J104" s="35">
        <f t="shared" si="7"/>
        <v>3.7351062670299733</v>
      </c>
      <c r="K104" s="35">
        <f t="shared" si="7"/>
        <v>4.0357994550408716</v>
      </c>
      <c r="L104" s="35">
        <f t="shared" si="7"/>
        <v>2.6982202070844687</v>
      </c>
      <c r="M104" s="35">
        <f t="shared" si="7"/>
        <v>0.95321739509536785</v>
      </c>
      <c r="N104" s="35">
        <f t="shared" si="7"/>
        <v>9.2647029972752044</v>
      </c>
      <c r="O104" s="35">
        <f t="shared" si="7"/>
        <v>10.01055408719346</v>
      </c>
      <c r="P104" s="35">
        <f t="shared" si="7"/>
        <v>6.6927704468664855</v>
      </c>
      <c r="Q104" s="35">
        <f t="shared" si="7"/>
        <v>2.3643975367847414</v>
      </c>
      <c r="R104" s="35">
        <f t="shared" si="7"/>
        <v>17.584937329700274</v>
      </c>
      <c r="S104" s="35">
        <f t="shared" si="7"/>
        <v>19.00060544959128</v>
      </c>
      <c r="T104" s="35">
        <f t="shared" si="7"/>
        <v>12.703261929155314</v>
      </c>
      <c r="U104" s="35">
        <f t="shared" si="7"/>
        <v>4.4877620490463208</v>
      </c>
      <c r="V104" s="35">
        <f t="shared" si="7"/>
        <v>28.711847411444143</v>
      </c>
      <c r="W104" s="35">
        <f t="shared" si="7"/>
        <v>31.023282833787466</v>
      </c>
      <c r="X104" s="35">
        <f t="shared" si="7"/>
        <v>20.741280523160761</v>
      </c>
      <c r="Y104" s="35">
        <f t="shared" si="7"/>
        <v>7.3274039455040869</v>
      </c>
      <c r="Z104" s="36" t="s">
        <v>55</v>
      </c>
    </row>
    <row r="105" spans="1:26">
      <c r="A105" s="34" t="s">
        <v>31</v>
      </c>
      <c r="B105" s="35">
        <f>(B49/3.67)/0.5</f>
        <v>2.8512261580381476E-2</v>
      </c>
      <c r="C105" s="35">
        <f t="shared" ref="C105:Q105" si="8">(C49/3.67)/0.5</f>
        <v>3.0807629427792915E-2</v>
      </c>
      <c r="D105" s="35">
        <f t="shared" si="8"/>
        <v>2.0597100817438697E-2</v>
      </c>
      <c r="E105" s="35">
        <f t="shared" si="8"/>
        <v>7.2764686648501362E-3</v>
      </c>
      <c r="F105" s="35">
        <f t="shared" si="8"/>
        <v>1.0086212534059946</v>
      </c>
      <c r="G105" s="35">
        <f t="shared" si="8"/>
        <v>1.0898198910081742</v>
      </c>
      <c r="H105" s="35">
        <f t="shared" si="8"/>
        <v>0.7286224414168937</v>
      </c>
      <c r="I105" s="35">
        <f t="shared" si="8"/>
        <v>0.25740507901907356</v>
      </c>
      <c r="J105" s="35">
        <f t="shared" si="8"/>
        <v>4.1111117166212532</v>
      </c>
      <c r="K105" s="35">
        <f t="shared" si="8"/>
        <v>4.4420750681198911</v>
      </c>
      <c r="L105" s="35">
        <f t="shared" si="8"/>
        <v>2.9698444741144416</v>
      </c>
      <c r="M105" s="35">
        <f t="shared" si="8"/>
        <v>1.049175825613079</v>
      </c>
      <c r="N105" s="35">
        <f t="shared" si="8"/>
        <v>9.4963651226158046</v>
      </c>
      <c r="O105" s="35">
        <f t="shared" si="8"/>
        <v>10.260866076294276</v>
      </c>
      <c r="P105" s="35">
        <f t="shared" si="8"/>
        <v>6.8601218910081743</v>
      </c>
      <c r="Q105" s="35">
        <f t="shared" si="8"/>
        <v>2.4235188446866482</v>
      </c>
      <c r="R105" s="35">
        <f t="shared" si="7"/>
        <v>17.239226158038147</v>
      </c>
      <c r="S105" s="35">
        <f t="shared" si="7"/>
        <v>18.62706294277929</v>
      </c>
      <c r="T105" s="35">
        <f t="shared" si="7"/>
        <v>12.453522081743868</v>
      </c>
      <c r="U105" s="35">
        <f t="shared" si="7"/>
        <v>4.3995348664850127</v>
      </c>
      <c r="V105" s="35">
        <f t="shared" si="7"/>
        <v>27.373553133514989</v>
      </c>
      <c r="W105" s="35">
        <f t="shared" si="7"/>
        <v>29.577249727520439</v>
      </c>
      <c r="X105" s="35">
        <f t="shared" si="7"/>
        <v>19.774504103542235</v>
      </c>
      <c r="Y105" s="35">
        <f t="shared" si="7"/>
        <v>6.9858646975476848</v>
      </c>
      <c r="Z105" s="36" t="s">
        <v>55</v>
      </c>
    </row>
    <row r="106" spans="1:26">
      <c r="A106" s="34" t="s">
        <v>32</v>
      </c>
      <c r="B106" s="35">
        <f>(B50/3.67)/0.5</f>
        <v>1.9602179836512263E-2</v>
      </c>
      <c r="C106" s="35">
        <f t="shared" si="7"/>
        <v>2.1180245231607629E-2</v>
      </c>
      <c r="D106" s="35">
        <f t="shared" si="7"/>
        <v>1.4160506811989102E-2</v>
      </c>
      <c r="E106" s="35">
        <f t="shared" si="7"/>
        <v>5.0025722070844688E-3</v>
      </c>
      <c r="F106" s="35">
        <f t="shared" si="7"/>
        <v>0.69142234332425079</v>
      </c>
      <c r="G106" s="35">
        <f t="shared" si="7"/>
        <v>0.74708501362397817</v>
      </c>
      <c r="H106" s="35">
        <f t="shared" si="7"/>
        <v>0.49947969482288823</v>
      </c>
      <c r="I106" s="35">
        <f t="shared" si="7"/>
        <v>0.17645436512261578</v>
      </c>
      <c r="J106" s="35">
        <f t="shared" si="7"/>
        <v>3.2610899182561313</v>
      </c>
      <c r="K106" s="35">
        <f t="shared" si="7"/>
        <v>3.5236226158038146</v>
      </c>
      <c r="L106" s="35">
        <f t="shared" si="7"/>
        <v>2.3557934059945507</v>
      </c>
      <c r="M106" s="35">
        <f t="shared" si="7"/>
        <v>0.83224610354223438</v>
      </c>
      <c r="N106" s="35">
        <f t="shared" si="7"/>
        <v>7.6466321525885563</v>
      </c>
      <c r="O106" s="35">
        <f t="shared" si="7"/>
        <v>8.2622211171662112</v>
      </c>
      <c r="P106" s="35">
        <f t="shared" si="7"/>
        <v>5.5238849754768387</v>
      </c>
      <c r="Q106" s="35">
        <f t="shared" si="7"/>
        <v>1.9514579400544954</v>
      </c>
      <c r="R106" s="35">
        <f t="shared" si="7"/>
        <v>19.963929155313355</v>
      </c>
      <c r="S106" s="35">
        <f t="shared" si="7"/>
        <v>21.571117029972751</v>
      </c>
      <c r="T106" s="35">
        <f t="shared" si="7"/>
        <v>14.421832528610354</v>
      </c>
      <c r="U106" s="35">
        <f t="shared" si="7"/>
        <v>5.0948924032697542</v>
      </c>
      <c r="V106" s="35">
        <f t="shared" si="7"/>
        <v>36.561629427792909</v>
      </c>
      <c r="W106" s="35">
        <f t="shared" si="7"/>
        <v>39.5050083106267</v>
      </c>
      <c r="X106" s="35">
        <f t="shared" si="7"/>
        <v>26.411919841961851</v>
      </c>
      <c r="Y106" s="35">
        <f t="shared" si="7"/>
        <v>9.3307067247956379</v>
      </c>
      <c r="Z106" s="36" t="s">
        <v>55</v>
      </c>
    </row>
    <row r="107" spans="1:26">
      <c r="A107" s="34" t="s">
        <v>33</v>
      </c>
      <c r="B107" s="35">
        <f>(B51/3.67)/0.478</f>
        <v>1.6839009040849139E-2</v>
      </c>
      <c r="C107" s="35">
        <f t="shared" ref="C107:Y107" si="9">(C51/3.67)/0.478</f>
        <v>9.7329472256108013E-3</v>
      </c>
      <c r="D107" s="35">
        <f t="shared" si="9"/>
        <v>9.3639255298530455E-3</v>
      </c>
      <c r="E107" s="35">
        <f t="shared" si="9"/>
        <v>3.9669832293958707E-3</v>
      </c>
      <c r="F107" s="35">
        <f t="shared" si="9"/>
        <v>0.6326656253919033</v>
      </c>
      <c r="G107" s="35">
        <f t="shared" si="9"/>
        <v>0.36568073147652003</v>
      </c>
      <c r="H107" s="35">
        <f t="shared" si="9"/>
        <v>0.35181605919305003</v>
      </c>
      <c r="I107" s="35">
        <f t="shared" si="9"/>
        <v>0.14904522704730194</v>
      </c>
      <c r="J107" s="35">
        <f t="shared" si="9"/>
        <v>4.168857523970221</v>
      </c>
      <c r="K107" s="35">
        <f t="shared" si="9"/>
        <v>2.4095996488547877</v>
      </c>
      <c r="L107" s="35">
        <f t="shared" si="9"/>
        <v>2.3182404204621894</v>
      </c>
      <c r="M107" s="35">
        <f t="shared" si="9"/>
        <v>0.98211170522043467</v>
      </c>
      <c r="N107" s="35">
        <f t="shared" si="9"/>
        <v>12.011024591565675</v>
      </c>
      <c r="O107" s="35">
        <f t="shared" si="9"/>
        <v>6.9423722139249602</v>
      </c>
      <c r="P107" s="35">
        <f t="shared" si="9"/>
        <v>6.6791543100794639</v>
      </c>
      <c r="Q107" s="35">
        <f t="shared" si="9"/>
        <v>2.8295924663390832</v>
      </c>
      <c r="R107" s="35">
        <f t="shared" si="9"/>
        <v>24.257795309703241</v>
      </c>
      <c r="S107" s="35">
        <f t="shared" si="9"/>
        <v>14.021005689008472</v>
      </c>
      <c r="T107" s="35">
        <f t="shared" si="9"/>
        <v>13.489403577576871</v>
      </c>
      <c r="U107" s="35">
        <f t="shared" si="9"/>
        <v>5.7147226978897088</v>
      </c>
      <c r="V107" s="35">
        <f t="shared" si="9"/>
        <v>41.351795058885237</v>
      </c>
      <c r="W107" s="35">
        <f t="shared" si="9"/>
        <v>23.901337544035666</v>
      </c>
      <c r="X107" s="35">
        <f t="shared" si="9"/>
        <v>22.995125694024832</v>
      </c>
      <c r="Y107" s="35">
        <f t="shared" si="9"/>
        <v>9.7417773876164286</v>
      </c>
      <c r="Z107" s="36" t="s">
        <v>55</v>
      </c>
    </row>
    <row r="108" spans="1:26">
      <c r="A108" s="34" t="s">
        <v>34</v>
      </c>
      <c r="B108" s="35">
        <f>(B52/3.67)/0.5</f>
        <v>4.2550408719346046E-2</v>
      </c>
      <c r="C108" s="35">
        <f t="shared" ref="C108:Y108" si="10">(C52/3.67)/0.5</f>
        <v>1.5401852861035422E-2</v>
      </c>
      <c r="D108" s="35">
        <f t="shared" si="10"/>
        <v>1.7857220708446871E-2</v>
      </c>
      <c r="E108" s="35">
        <f t="shared" si="10"/>
        <v>1.1383978201634878E-2</v>
      </c>
      <c r="F108" s="35">
        <f t="shared" si="10"/>
        <v>1.5291553133514988</v>
      </c>
      <c r="G108" s="35">
        <f t="shared" si="10"/>
        <v>0.55350408719346045</v>
      </c>
      <c r="H108" s="35">
        <f t="shared" si="10"/>
        <v>0.6417438692098093</v>
      </c>
      <c r="I108" s="35">
        <f t="shared" si="10"/>
        <v>0.40911171662125345</v>
      </c>
      <c r="J108" s="35">
        <f t="shared" si="10"/>
        <v>6.8133841961852868</v>
      </c>
      <c r="K108" s="35">
        <f t="shared" si="10"/>
        <v>2.4662216893732971</v>
      </c>
      <c r="L108" s="35">
        <f t="shared" si="10"/>
        <v>2.8593874659400544</v>
      </c>
      <c r="M108" s="35">
        <f t="shared" si="10"/>
        <v>1.8228595095367848</v>
      </c>
      <c r="N108" s="35">
        <f t="shared" si="10"/>
        <v>16.477645776566757</v>
      </c>
      <c r="O108" s="35">
        <f t="shared" si="10"/>
        <v>5.9643675204359665</v>
      </c>
      <c r="P108" s="35">
        <f t="shared" si="10"/>
        <v>6.9152087193460492</v>
      </c>
      <c r="Q108" s="35">
        <f t="shared" si="10"/>
        <v>4.4084455585831064</v>
      </c>
      <c r="R108" s="35">
        <f t="shared" si="10"/>
        <v>20.597057220708447</v>
      </c>
      <c r="S108" s="35">
        <f t="shared" si="10"/>
        <v>7.4554594005449593</v>
      </c>
      <c r="T108" s="35">
        <f t="shared" si="10"/>
        <v>8.6440108991825628</v>
      </c>
      <c r="U108" s="35">
        <f t="shared" si="10"/>
        <v>5.5105569482288832</v>
      </c>
      <c r="V108" s="35">
        <f t="shared" si="10"/>
        <v>24.716468664850137</v>
      </c>
      <c r="W108" s="35">
        <f t="shared" si="10"/>
        <v>8.9465512806539511</v>
      </c>
      <c r="X108" s="35">
        <f t="shared" si="10"/>
        <v>10.372813079019075</v>
      </c>
      <c r="Y108" s="35">
        <f t="shared" si="10"/>
        <v>6.61266833787466</v>
      </c>
      <c r="Z108" s="36" t="s">
        <v>55</v>
      </c>
    </row>
    <row r="109" spans="1:26">
      <c r="A109" s="70" t="s">
        <v>35</v>
      </c>
      <c r="B109" s="67">
        <f>(B53/3.67)/0.5</f>
        <v>1.9602179836512263E-2</v>
      </c>
      <c r="C109" s="67">
        <f t="shared" ref="C109:Y109" si="11">(C53/3.67)/0.5</f>
        <v>2.1180245231607629E-2</v>
      </c>
      <c r="D109" s="67">
        <f t="shared" si="11"/>
        <v>1.4160506811989102E-2</v>
      </c>
      <c r="E109" s="67">
        <f t="shared" si="11"/>
        <v>5.0025722070844688E-3</v>
      </c>
      <c r="F109" s="67">
        <f t="shared" si="11"/>
        <v>0.69142234332425079</v>
      </c>
      <c r="G109" s="67">
        <f t="shared" si="11"/>
        <v>0.74708501362397817</v>
      </c>
      <c r="H109" s="67">
        <f t="shared" si="11"/>
        <v>0.49947969482288823</v>
      </c>
      <c r="I109" s="67">
        <f t="shared" si="11"/>
        <v>0.17645436512261578</v>
      </c>
      <c r="J109" s="67">
        <f t="shared" si="11"/>
        <v>3.2610899182561313</v>
      </c>
      <c r="K109" s="67">
        <f t="shared" si="11"/>
        <v>3.5236226158038146</v>
      </c>
      <c r="L109" s="67">
        <f t="shared" si="11"/>
        <v>2.3557934059945507</v>
      </c>
      <c r="M109" s="67">
        <f t="shared" si="11"/>
        <v>0.83224610354223438</v>
      </c>
      <c r="N109" s="67">
        <f t="shared" si="11"/>
        <v>7.6466321525885563</v>
      </c>
      <c r="O109" s="67">
        <f t="shared" si="11"/>
        <v>8.2622211171662112</v>
      </c>
      <c r="P109" s="67">
        <f t="shared" si="11"/>
        <v>5.5238849754768387</v>
      </c>
      <c r="Q109" s="67">
        <f t="shared" si="11"/>
        <v>1.9514579400544954</v>
      </c>
      <c r="R109" s="67">
        <f t="shared" si="11"/>
        <v>19.963929155313355</v>
      </c>
      <c r="S109" s="67">
        <f t="shared" si="11"/>
        <v>21.571117029972751</v>
      </c>
      <c r="T109" s="67">
        <f t="shared" si="11"/>
        <v>14.421832528610354</v>
      </c>
      <c r="U109" s="67">
        <f t="shared" si="11"/>
        <v>5.0948924032697542</v>
      </c>
      <c r="V109" s="67">
        <f t="shared" si="11"/>
        <v>36.561629427792909</v>
      </c>
      <c r="W109" s="67">
        <f t="shared" si="11"/>
        <v>39.5050083106267</v>
      </c>
      <c r="X109" s="67">
        <f t="shared" si="11"/>
        <v>26.411919841961851</v>
      </c>
      <c r="Y109" s="67">
        <f t="shared" si="11"/>
        <v>9.3307067247956379</v>
      </c>
      <c r="Z109" s="431" t="s">
        <v>55</v>
      </c>
    </row>
    <row r="110" spans="1:26">
      <c r="A110" s="432" t="s">
        <v>36</v>
      </c>
      <c r="B110" s="67">
        <f>(B54/3.67)/0.5</f>
        <v>3.5836512261580376E-2</v>
      </c>
      <c r="C110" s="67">
        <f t="shared" ref="C110:Y113" si="12">(C54/3.67)/0.5</f>
        <v>5.6307531335149853E-2</v>
      </c>
      <c r="D110" s="67">
        <f t="shared" si="12"/>
        <v>1.8515967302452314E-2</v>
      </c>
      <c r="E110" s="67">
        <f t="shared" si="12"/>
        <v>2.0130179836512257E-2</v>
      </c>
      <c r="F110" s="67">
        <f t="shared" si="12"/>
        <v>1.2647302452316076</v>
      </c>
      <c r="G110" s="67">
        <f t="shared" si="12"/>
        <v>1.9871866267029974</v>
      </c>
      <c r="H110" s="67">
        <f t="shared" si="12"/>
        <v>0.65345934604904643</v>
      </c>
      <c r="I110" s="67">
        <f t="shared" si="12"/>
        <v>0.71042759673024525</v>
      </c>
      <c r="J110" s="67">
        <f t="shared" si="12"/>
        <v>1.8246757493188011</v>
      </c>
      <c r="K110" s="67">
        <f t="shared" si="12"/>
        <v>2.8669918038147135</v>
      </c>
      <c r="L110" s="67">
        <f t="shared" si="12"/>
        <v>0.94277133514986389</v>
      </c>
      <c r="M110" s="67">
        <f t="shared" si="12"/>
        <v>1.0249616566757491</v>
      </c>
      <c r="N110" s="67">
        <f t="shared" si="12"/>
        <v>2.5354332425068113</v>
      </c>
      <c r="O110" s="67">
        <f t="shared" si="12"/>
        <v>3.9837578419618525</v>
      </c>
      <c r="P110" s="67">
        <f t="shared" si="12"/>
        <v>1.3100046866485013</v>
      </c>
      <c r="Q110" s="67">
        <f t="shared" si="12"/>
        <v>1.4242102234332423</v>
      </c>
      <c r="R110" s="67">
        <f t="shared" si="12"/>
        <v>3.4179073569482288</v>
      </c>
      <c r="S110" s="67">
        <f t="shared" si="12"/>
        <v>5.370330801089918</v>
      </c>
      <c r="T110" s="67">
        <f t="shared" si="12"/>
        <v>1.7659603814713898</v>
      </c>
      <c r="U110" s="67">
        <f t="shared" si="12"/>
        <v>1.9199159019073571</v>
      </c>
      <c r="V110" s="67">
        <f t="shared" si="12"/>
        <v>4.4930027247956401</v>
      </c>
      <c r="W110" s="67">
        <f t="shared" si="12"/>
        <v>7.059556741144414</v>
      </c>
      <c r="X110" s="67">
        <f t="shared" si="12"/>
        <v>2.3214394005449597</v>
      </c>
      <c r="Y110" s="67">
        <f t="shared" si="12"/>
        <v>2.523821297002725</v>
      </c>
      <c r="Z110" s="431" t="s">
        <v>56</v>
      </c>
    </row>
    <row r="111" spans="1:26">
      <c r="A111" s="70" t="s">
        <v>37</v>
      </c>
      <c r="B111" s="67">
        <f t="shared" ref="B111:Q113" si="13">(B55/3.67)/0.5</f>
        <v>1.9602179836512263E-2</v>
      </c>
      <c r="C111" s="67">
        <f t="shared" si="13"/>
        <v>2.1180245231607629E-2</v>
      </c>
      <c r="D111" s="67">
        <f t="shared" si="13"/>
        <v>1.4160506811989102E-2</v>
      </c>
      <c r="E111" s="67">
        <f t="shared" si="13"/>
        <v>5.0025722070844688E-3</v>
      </c>
      <c r="F111" s="67">
        <f t="shared" si="13"/>
        <v>0.69142234332425079</v>
      </c>
      <c r="G111" s="67">
        <f t="shared" si="13"/>
        <v>0.74708501362397817</v>
      </c>
      <c r="H111" s="67">
        <f t="shared" si="13"/>
        <v>0.49947969482288823</v>
      </c>
      <c r="I111" s="67">
        <f t="shared" si="13"/>
        <v>0.17645436512261578</v>
      </c>
      <c r="J111" s="67">
        <f t="shared" si="13"/>
        <v>3.2610899182561313</v>
      </c>
      <c r="K111" s="67">
        <f t="shared" si="13"/>
        <v>3.5236226158038146</v>
      </c>
      <c r="L111" s="67">
        <f t="shared" si="13"/>
        <v>2.3557934059945507</v>
      </c>
      <c r="M111" s="67">
        <f t="shared" si="13"/>
        <v>0.83224610354223438</v>
      </c>
      <c r="N111" s="67">
        <f t="shared" si="13"/>
        <v>7.6466321525885563</v>
      </c>
      <c r="O111" s="67">
        <f t="shared" si="13"/>
        <v>8.2622211171662112</v>
      </c>
      <c r="P111" s="67">
        <f t="shared" si="13"/>
        <v>5.5238849754768387</v>
      </c>
      <c r="Q111" s="67">
        <f t="shared" si="13"/>
        <v>1.9514579400544954</v>
      </c>
      <c r="R111" s="67">
        <f t="shared" si="12"/>
        <v>19.963929155313355</v>
      </c>
      <c r="S111" s="67">
        <f t="shared" si="12"/>
        <v>21.571117029972751</v>
      </c>
      <c r="T111" s="67">
        <f t="shared" si="12"/>
        <v>14.421832528610354</v>
      </c>
      <c r="U111" s="67">
        <f t="shared" si="12"/>
        <v>5.0948924032697542</v>
      </c>
      <c r="V111" s="67">
        <f t="shared" si="12"/>
        <v>36.561629427792909</v>
      </c>
      <c r="W111" s="67">
        <f t="shared" si="12"/>
        <v>39.5050083106267</v>
      </c>
      <c r="X111" s="67">
        <f t="shared" si="12"/>
        <v>26.411919841961851</v>
      </c>
      <c r="Y111" s="67">
        <f t="shared" si="12"/>
        <v>9.3307067247956379</v>
      </c>
      <c r="Z111" s="431" t="s">
        <v>55</v>
      </c>
    </row>
    <row r="112" spans="1:26">
      <c r="A112" s="70" t="s">
        <v>38</v>
      </c>
      <c r="B112" s="67">
        <f t="shared" si="13"/>
        <v>1.9602179836512263E-2</v>
      </c>
      <c r="C112" s="67">
        <f t="shared" si="12"/>
        <v>2.1180245231607629E-2</v>
      </c>
      <c r="D112" s="67">
        <f t="shared" si="12"/>
        <v>1.4160506811989102E-2</v>
      </c>
      <c r="E112" s="67">
        <f t="shared" si="12"/>
        <v>5.0025722070844688E-3</v>
      </c>
      <c r="F112" s="67">
        <f t="shared" si="12"/>
        <v>0.69142234332425079</v>
      </c>
      <c r="G112" s="67">
        <f t="shared" si="12"/>
        <v>0.74708501362397817</v>
      </c>
      <c r="H112" s="67">
        <f t="shared" si="12"/>
        <v>0.49947969482288823</v>
      </c>
      <c r="I112" s="67">
        <f t="shared" si="12"/>
        <v>0.17645436512261578</v>
      </c>
      <c r="J112" s="67">
        <f t="shared" si="12"/>
        <v>3.2610899182561313</v>
      </c>
      <c r="K112" s="67">
        <f t="shared" si="12"/>
        <v>3.5236226158038146</v>
      </c>
      <c r="L112" s="67">
        <f t="shared" si="12"/>
        <v>2.3557934059945507</v>
      </c>
      <c r="M112" s="67">
        <f t="shared" si="12"/>
        <v>0.83224610354223438</v>
      </c>
      <c r="N112" s="67">
        <f t="shared" si="12"/>
        <v>7.6466321525885563</v>
      </c>
      <c r="O112" s="67">
        <f t="shared" si="12"/>
        <v>8.2622211171662112</v>
      </c>
      <c r="P112" s="67">
        <f t="shared" si="12"/>
        <v>5.5238849754768387</v>
      </c>
      <c r="Q112" s="67">
        <f t="shared" si="12"/>
        <v>1.9514579400544954</v>
      </c>
      <c r="R112" s="67">
        <f t="shared" si="12"/>
        <v>19.963929155313355</v>
      </c>
      <c r="S112" s="67">
        <f t="shared" si="12"/>
        <v>21.571117029972751</v>
      </c>
      <c r="T112" s="67">
        <f t="shared" si="12"/>
        <v>14.421832528610354</v>
      </c>
      <c r="U112" s="67">
        <f t="shared" si="12"/>
        <v>5.0948924032697542</v>
      </c>
      <c r="V112" s="67">
        <f t="shared" si="12"/>
        <v>36.561629427792909</v>
      </c>
      <c r="W112" s="67">
        <f t="shared" si="12"/>
        <v>39.5050083106267</v>
      </c>
      <c r="X112" s="67">
        <f t="shared" si="12"/>
        <v>26.411919841961851</v>
      </c>
      <c r="Y112" s="67">
        <f t="shared" si="12"/>
        <v>9.3307067247956379</v>
      </c>
      <c r="Z112" s="431" t="s">
        <v>55</v>
      </c>
    </row>
    <row r="113" spans="1:26">
      <c r="A113" s="70" t="s">
        <v>39</v>
      </c>
      <c r="B113" s="67">
        <f t="shared" si="13"/>
        <v>1.9602179836512263E-2</v>
      </c>
      <c r="C113" s="67">
        <f t="shared" si="12"/>
        <v>2.1180245231607629E-2</v>
      </c>
      <c r="D113" s="67">
        <f t="shared" si="12"/>
        <v>1.4160506811989102E-2</v>
      </c>
      <c r="E113" s="67">
        <f t="shared" si="12"/>
        <v>5.0025722070844688E-3</v>
      </c>
      <c r="F113" s="67">
        <f t="shared" si="12"/>
        <v>0.69142234332425079</v>
      </c>
      <c r="G113" s="67">
        <f t="shared" si="12"/>
        <v>0.74708501362397817</v>
      </c>
      <c r="H113" s="67">
        <f t="shared" si="12"/>
        <v>0.49947969482288823</v>
      </c>
      <c r="I113" s="67">
        <f t="shared" si="12"/>
        <v>0.17645436512261578</v>
      </c>
      <c r="J113" s="67">
        <f t="shared" si="12"/>
        <v>3.2610899182561313</v>
      </c>
      <c r="K113" s="67">
        <f t="shared" si="12"/>
        <v>3.5236226158038146</v>
      </c>
      <c r="L113" s="67">
        <f t="shared" si="12"/>
        <v>2.3557934059945507</v>
      </c>
      <c r="M113" s="67">
        <f t="shared" si="12"/>
        <v>0.83224610354223438</v>
      </c>
      <c r="N113" s="67">
        <f t="shared" si="12"/>
        <v>7.6466321525885563</v>
      </c>
      <c r="O113" s="67">
        <f t="shared" si="12"/>
        <v>8.2622211171662112</v>
      </c>
      <c r="P113" s="67">
        <f t="shared" si="12"/>
        <v>5.5238849754768387</v>
      </c>
      <c r="Q113" s="67">
        <f t="shared" si="12"/>
        <v>1.9514579400544954</v>
      </c>
      <c r="R113" s="67">
        <f t="shared" si="12"/>
        <v>19.963929155313355</v>
      </c>
      <c r="S113" s="67">
        <f t="shared" si="12"/>
        <v>21.571117029972751</v>
      </c>
      <c r="T113" s="67">
        <f t="shared" si="12"/>
        <v>14.421832528610354</v>
      </c>
      <c r="U113" s="67">
        <f t="shared" si="12"/>
        <v>5.0948924032697542</v>
      </c>
      <c r="V113" s="67">
        <f t="shared" si="12"/>
        <v>36.561629427792909</v>
      </c>
      <c r="W113" s="67">
        <f t="shared" si="12"/>
        <v>39.5050083106267</v>
      </c>
      <c r="X113" s="67">
        <f t="shared" si="12"/>
        <v>26.411919841961851</v>
      </c>
      <c r="Y113" s="67">
        <f t="shared" si="12"/>
        <v>9.3307067247956379</v>
      </c>
      <c r="Z113" s="431" t="s">
        <v>55</v>
      </c>
    </row>
    <row r="114" spans="1:26">
      <c r="A114" s="70" t="s">
        <v>40</v>
      </c>
      <c r="B114" s="67">
        <f>(B58/3.67)/0.473</f>
        <v>1.9897344908434193E-2</v>
      </c>
      <c r="C114" s="67">
        <f t="shared" ref="C114:Y114" si="14">(C58/3.67)/0.473</f>
        <v>1.2432418731385847E-2</v>
      </c>
      <c r="D114" s="67">
        <f t="shared" si="14"/>
        <v>2.4299727520435965E-2</v>
      </c>
      <c r="E114" s="67">
        <f t="shared" si="14"/>
        <v>6.7378493124643562E-3</v>
      </c>
      <c r="F114" s="67">
        <f t="shared" si="14"/>
        <v>0.70183362040658792</v>
      </c>
      <c r="G114" s="67">
        <f t="shared" si="14"/>
        <v>0.43852531525251887</v>
      </c>
      <c r="H114" s="67">
        <f t="shared" si="14"/>
        <v>0.85711766162992309</v>
      </c>
      <c r="I114" s="67">
        <f t="shared" si="14"/>
        <v>0.23766232120328817</v>
      </c>
      <c r="J114" s="67">
        <f t="shared" si="14"/>
        <v>3.3029592548000761</v>
      </c>
      <c r="K114" s="67">
        <f t="shared" si="14"/>
        <v>2.0637815094100502</v>
      </c>
      <c r="L114" s="67">
        <f t="shared" si="14"/>
        <v>4.0337547683923702</v>
      </c>
      <c r="M114" s="67">
        <f t="shared" si="14"/>
        <v>1.1184829858690832</v>
      </c>
      <c r="N114" s="67">
        <f t="shared" si="14"/>
        <v>7.0545131948084876</v>
      </c>
      <c r="O114" s="67">
        <f t="shared" si="14"/>
        <v>4.4078575502186181</v>
      </c>
      <c r="P114" s="67">
        <f t="shared" si="14"/>
        <v>8.6153579390636601</v>
      </c>
      <c r="Q114" s="67">
        <f t="shared" si="14"/>
        <v>2.3888738471464532</v>
      </c>
      <c r="R114" s="67">
        <f t="shared" si="14"/>
        <v>8.8163326439734782</v>
      </c>
      <c r="S114" s="67">
        <f t="shared" si="14"/>
        <v>5.5086917178886017</v>
      </c>
      <c r="T114" s="67">
        <f t="shared" si="14"/>
        <v>10.766988357691355</v>
      </c>
      <c r="U114" s="67">
        <f t="shared" si="14"/>
        <v>2.9854797771773884</v>
      </c>
      <c r="V114" s="67">
        <f t="shared" si="14"/>
        <v>15.208806908192244</v>
      </c>
      <c r="W114" s="67">
        <f t="shared" si="14"/>
        <v>9.5028887903174688</v>
      </c>
      <c r="X114" s="67">
        <f t="shared" si="14"/>
        <v>18.573828090165964</v>
      </c>
      <c r="Y114" s="67">
        <f t="shared" si="14"/>
        <v>5.1501670017454817</v>
      </c>
      <c r="Z114" s="431" t="s">
        <v>55</v>
      </c>
    </row>
    <row r="115" spans="1:26">
      <c r="A115" s="70" t="s">
        <v>41</v>
      </c>
      <c r="B115" s="67">
        <f>(B59/3.67)/0.5</f>
        <v>2.6730245231607632E-2</v>
      </c>
      <c r="C115" s="67">
        <f t="shared" ref="C115:Y115" si="15">(C59/3.67)/0.5</f>
        <v>2.8882152588555858E-2</v>
      </c>
      <c r="D115" s="67">
        <f t="shared" si="15"/>
        <v>1.9309782016348774E-2</v>
      </c>
      <c r="E115" s="67">
        <f t="shared" si="15"/>
        <v>6.8216893732970015E-3</v>
      </c>
      <c r="F115" s="67">
        <f t="shared" si="15"/>
        <v>0.94268664850136241</v>
      </c>
      <c r="G115" s="67">
        <f t="shared" si="15"/>
        <v>1.0185772479564033</v>
      </c>
      <c r="H115" s="67">
        <f t="shared" si="15"/>
        <v>0.68099164577656679</v>
      </c>
      <c r="I115" s="67">
        <f t="shared" si="15"/>
        <v>0.24057824523160762</v>
      </c>
      <c r="J115" s="67">
        <f t="shared" si="15"/>
        <v>5.2801144414168935</v>
      </c>
      <c r="K115" s="67">
        <f t="shared" si="15"/>
        <v>5.7051878746593996</v>
      </c>
      <c r="L115" s="67">
        <f t="shared" si="15"/>
        <v>3.8143256076294274</v>
      </c>
      <c r="M115" s="67">
        <f t="shared" si="15"/>
        <v>1.3475110408719344</v>
      </c>
      <c r="N115" s="67">
        <f t="shared" si="15"/>
        <v>13.77142234332425</v>
      </c>
      <c r="O115" s="67">
        <f t="shared" si="15"/>
        <v>14.88008501362398</v>
      </c>
      <c r="P115" s="67">
        <f t="shared" si="15"/>
        <v>9.9483996948228892</v>
      </c>
      <c r="Q115" s="67">
        <f t="shared" si="15"/>
        <v>3.514534365122616</v>
      </c>
      <c r="R115" s="67">
        <f t="shared" si="15"/>
        <v>26.657182561307906</v>
      </c>
      <c r="S115" s="67">
        <f t="shared" si="15"/>
        <v>28.803208038147137</v>
      </c>
      <c r="T115" s="67">
        <f t="shared" si="15"/>
        <v>19.257001945504086</v>
      </c>
      <c r="U115" s="67">
        <f t="shared" si="15"/>
        <v>6.8030434223433236</v>
      </c>
      <c r="V115" s="67">
        <f t="shared" si="15"/>
        <v>43.958779291553135</v>
      </c>
      <c r="W115" s="67">
        <f t="shared" si="15"/>
        <v>47.497662670299725</v>
      </c>
      <c r="X115" s="67">
        <f t="shared" si="15"/>
        <v>31.755580185286107</v>
      </c>
      <c r="Y115" s="67">
        <f t="shared" si="15"/>
        <v>11.218495564032697</v>
      </c>
      <c r="Z115" s="431" t="s">
        <v>55</v>
      </c>
    </row>
    <row r="116" spans="1:26">
      <c r="A116" s="438" t="s">
        <v>42</v>
      </c>
      <c r="B116" s="67">
        <f>(B60/3.67)/0.499</f>
        <v>6.4434045202120876E-3</v>
      </c>
      <c r="C116" s="67">
        <f t="shared" ref="C116:Y116" si="16">(C60/3.67)/0.499</f>
        <v>1.0095831990957394E-2</v>
      </c>
      <c r="D116" s="67">
        <f t="shared" si="16"/>
        <v>4.9644793674542553E-3</v>
      </c>
      <c r="E116" s="67">
        <f t="shared" si="16"/>
        <v>5.7988456476986677E-3</v>
      </c>
      <c r="F116" s="67">
        <f t="shared" si="16"/>
        <v>0.24613805267210168</v>
      </c>
      <c r="G116" s="67">
        <f t="shared" si="16"/>
        <v>0.38566078205457233</v>
      </c>
      <c r="H116" s="67">
        <f t="shared" si="16"/>
        <v>0.18964311183675253</v>
      </c>
      <c r="I116" s="67">
        <f t="shared" si="16"/>
        <v>0.22151590374208907</v>
      </c>
      <c r="J116" s="67">
        <f t="shared" si="16"/>
        <v>0.96522199712777068</v>
      </c>
      <c r="K116" s="67">
        <f t="shared" si="16"/>
        <v>1.5123556322454172</v>
      </c>
      <c r="L116" s="67">
        <f t="shared" si="16"/>
        <v>0.74367900924464736</v>
      </c>
      <c r="M116" s="67">
        <f t="shared" si="16"/>
        <v>0.86866707802526044</v>
      </c>
      <c r="N116" s="67">
        <f t="shared" si="16"/>
        <v>2.261634986594443</v>
      </c>
      <c r="O116" s="67">
        <f t="shared" si="16"/>
        <v>3.5436370288260441</v>
      </c>
      <c r="P116" s="67">
        <f t="shared" si="16"/>
        <v>1.7425322579764437</v>
      </c>
      <c r="Q116" s="67">
        <f t="shared" si="16"/>
        <v>2.0353948223422322</v>
      </c>
      <c r="R116" s="67">
        <f t="shared" si="16"/>
        <v>4.1985223853701958</v>
      </c>
      <c r="S116" s="67">
        <f t="shared" si="16"/>
        <v>6.5784441253078363</v>
      </c>
      <c r="T116" s="67">
        <f t="shared" si="16"/>
        <v>3.2348547558331928</v>
      </c>
      <c r="U116" s="67">
        <f t="shared" si="16"/>
        <v>3.7785278240404523</v>
      </c>
      <c r="V116" s="67">
        <f t="shared" si="16"/>
        <v>6.8158333014803461</v>
      </c>
      <c r="W116" s="67">
        <f t="shared" si="16"/>
        <v>10.679371080034731</v>
      </c>
      <c r="X116" s="67">
        <f t="shared" si="16"/>
        <v>5.2514262748931113</v>
      </c>
      <c r="Y116" s="67">
        <f t="shared" si="16"/>
        <v>6.134018926135651</v>
      </c>
      <c r="Z116" s="431" t="s">
        <v>56</v>
      </c>
    </row>
    <row r="117" spans="1:26">
      <c r="A117" s="432" t="s">
        <v>43</v>
      </c>
      <c r="B117" s="67">
        <f>(B61/3.67)/0.511</f>
        <v>4.242362840399494E-2</v>
      </c>
      <c r="C117" s="67">
        <f t="shared" ref="C117:Y117" si="17">(C61/3.67)/0.511</f>
        <v>0.11888310040152079</v>
      </c>
      <c r="D117" s="67">
        <f t="shared" si="17"/>
        <v>9.7200019196211958E-3</v>
      </c>
      <c r="E117" s="67">
        <f t="shared" si="17"/>
        <v>2.0935388749953349E-2</v>
      </c>
      <c r="F117" s="67">
        <f t="shared" si="17"/>
        <v>1.5213584519321521</v>
      </c>
      <c r="G117" s="67">
        <f t="shared" si="17"/>
        <v>4.2632800727323152</v>
      </c>
      <c r="H117" s="67">
        <f t="shared" si="17"/>
        <v>0.348570068839749</v>
      </c>
      <c r="I117" s="67">
        <f t="shared" si="17"/>
        <v>0.75076630211638262</v>
      </c>
      <c r="J117" s="67">
        <f t="shared" si="17"/>
        <v>3.8782266965985377</v>
      </c>
      <c r="K117" s="67">
        <f t="shared" si="17"/>
        <v>10.867896761705689</v>
      </c>
      <c r="L117" s="67">
        <f t="shared" si="17"/>
        <v>0.88857017548537076</v>
      </c>
      <c r="M117" s="67">
        <f t="shared" si="17"/>
        <v>1.9138434548915682</v>
      </c>
      <c r="N117" s="67">
        <f t="shared" si="17"/>
        <v>7.5584764606450987</v>
      </c>
      <c r="O117" s="67">
        <f t="shared" si="17"/>
        <v>21.181005721537616</v>
      </c>
      <c r="P117" s="67">
        <f t="shared" si="17"/>
        <v>1.7317803420125097</v>
      </c>
      <c r="Q117" s="67">
        <f t="shared" si="17"/>
        <v>3.7299884289500209</v>
      </c>
      <c r="R117" s="67">
        <f t="shared" si="17"/>
        <v>12.664631512714823</v>
      </c>
      <c r="S117" s="67">
        <f t="shared" si="17"/>
        <v>35.489907778198443</v>
      </c>
      <c r="T117" s="67">
        <f t="shared" si="17"/>
        <v>2.9016905730602498</v>
      </c>
      <c r="U117" s="67">
        <f t="shared" si="17"/>
        <v>6.2497950804374609</v>
      </c>
      <c r="V117" s="67">
        <f t="shared" si="17"/>
        <v>19.256791993046708</v>
      </c>
      <c r="W117" s="67">
        <f t="shared" si="17"/>
        <v>53.963020657256969</v>
      </c>
      <c r="X117" s="67">
        <f t="shared" si="17"/>
        <v>4.4120708713480541</v>
      </c>
      <c r="Y117" s="67">
        <f t="shared" si="17"/>
        <v>9.5029218767496548</v>
      </c>
      <c r="Z117" s="431" t="s">
        <v>56</v>
      </c>
    </row>
    <row r="118" spans="1:26">
      <c r="A118" s="438" t="s">
        <v>44</v>
      </c>
      <c r="B118" s="67">
        <f>(B62/3.67)/0.508</f>
        <v>1.4133536441459807E-2</v>
      </c>
      <c r="C118" s="67">
        <f t="shared" ref="C118:Y118" si="18">(C62/3.67)/0.508</f>
        <v>3.3208795511596473E-2</v>
      </c>
      <c r="D118" s="67">
        <f t="shared" si="18"/>
        <v>2.6582446523203674E-2</v>
      </c>
      <c r="E118" s="67">
        <f t="shared" si="18"/>
        <v>1.7259327597674266E-2</v>
      </c>
      <c r="F118" s="67">
        <f t="shared" si="18"/>
        <v>0.51213284987877883</v>
      </c>
      <c r="G118" s="67">
        <f t="shared" si="18"/>
        <v>1.2033304726554956</v>
      </c>
      <c r="H118" s="67">
        <f t="shared" si="18"/>
        <v>0.96322276813490937</v>
      </c>
      <c r="I118" s="67">
        <f t="shared" si="18"/>
        <v>0.62539681177454987</v>
      </c>
      <c r="J118" s="67">
        <f t="shared" si="18"/>
        <v>1.5713166984917073</v>
      </c>
      <c r="K118" s="67">
        <f t="shared" si="18"/>
        <v>3.6920366774657247</v>
      </c>
      <c r="L118" s="67">
        <f t="shared" si="18"/>
        <v>2.9553425840502903</v>
      </c>
      <c r="M118" s="67">
        <f t="shared" si="18"/>
        <v>1.9188311270355505</v>
      </c>
      <c r="N118" s="67">
        <f t="shared" si="18"/>
        <v>3.3554678281018688</v>
      </c>
      <c r="O118" s="67">
        <f t="shared" si="18"/>
        <v>7.8841587461649025</v>
      </c>
      <c r="P118" s="67">
        <f t="shared" si="18"/>
        <v>6.3109855392735303</v>
      </c>
      <c r="Q118" s="67">
        <f t="shared" si="18"/>
        <v>4.0975674226007843</v>
      </c>
      <c r="R118" s="67">
        <f t="shared" si="18"/>
        <v>5.946061919371795</v>
      </c>
      <c r="S118" s="67">
        <f t="shared" si="18"/>
        <v>13.971135617584586</v>
      </c>
      <c r="T118" s="67">
        <f t="shared" si="18"/>
        <v>11.183391619644272</v>
      </c>
      <c r="U118" s="67">
        <f t="shared" si="18"/>
        <v>7.2611006457980203</v>
      </c>
      <c r="V118" s="67">
        <f t="shared" si="18"/>
        <v>9.3988017335707692</v>
      </c>
      <c r="W118" s="67">
        <f t="shared" si="18"/>
        <v>22.083849015211651</v>
      </c>
      <c r="X118" s="67">
        <f t="shared" si="18"/>
        <v>17.677326937930438</v>
      </c>
      <c r="Y118" s="67">
        <f t="shared" si="18"/>
        <v>11.477452852453387</v>
      </c>
      <c r="Z118" s="431" t="s">
        <v>56</v>
      </c>
    </row>
    <row r="119" spans="1:26">
      <c r="A119" s="70" t="s">
        <v>45</v>
      </c>
      <c r="B119" s="67">
        <f>(B63/3.67)/0.5</f>
        <v>2.6730245231607632E-2</v>
      </c>
      <c r="C119" s="67">
        <f t="shared" ref="C119:Y119" si="19">(C63/3.67)/0.5</f>
        <v>2.8882152588555858E-2</v>
      </c>
      <c r="D119" s="67">
        <f t="shared" si="19"/>
        <v>1.9309782016348774E-2</v>
      </c>
      <c r="E119" s="67">
        <f t="shared" si="19"/>
        <v>6.8216893732970015E-3</v>
      </c>
      <c r="F119" s="67">
        <f t="shared" si="19"/>
        <v>0.97119891008174397</v>
      </c>
      <c r="G119" s="67">
        <f t="shared" si="19"/>
        <v>1.0493848773841961</v>
      </c>
      <c r="H119" s="67">
        <f t="shared" si="19"/>
        <v>0.7015887465940055</v>
      </c>
      <c r="I119" s="67">
        <f t="shared" si="19"/>
        <v>0.24785471389645772</v>
      </c>
      <c r="J119" s="67">
        <f t="shared" si="19"/>
        <v>4.7027411444141691</v>
      </c>
      <c r="K119" s="67">
        <f t="shared" si="19"/>
        <v>5.0813333787465931</v>
      </c>
      <c r="L119" s="67">
        <f t="shared" si="19"/>
        <v>3.3972343160762946</v>
      </c>
      <c r="M119" s="67">
        <f t="shared" si="19"/>
        <v>1.2001625504087194</v>
      </c>
      <c r="N119" s="67">
        <f t="shared" si="19"/>
        <v>11.984059945504088</v>
      </c>
      <c r="O119" s="67">
        <f t="shared" si="19"/>
        <v>12.948831743869208</v>
      </c>
      <c r="P119" s="67">
        <f t="shared" si="19"/>
        <v>8.6572189373297004</v>
      </c>
      <c r="Q119" s="67">
        <f t="shared" si="19"/>
        <v>3.0583907356948226</v>
      </c>
      <c r="R119" s="67">
        <f t="shared" si="19"/>
        <v>23.189378746594006</v>
      </c>
      <c r="S119" s="67">
        <f t="shared" si="19"/>
        <v>25.056230108991823</v>
      </c>
      <c r="T119" s="67">
        <f t="shared" si="19"/>
        <v>16.751879558583106</v>
      </c>
      <c r="U119" s="67">
        <f t="shared" si="19"/>
        <v>5.918042920980926</v>
      </c>
      <c r="V119" s="67">
        <f t="shared" si="19"/>
        <v>38.48442506811989</v>
      </c>
      <c r="W119" s="67">
        <f t="shared" si="19"/>
        <v>41.582597820163485</v>
      </c>
      <c r="X119" s="67">
        <f t="shared" si="19"/>
        <v>27.800936828337875</v>
      </c>
      <c r="Y119" s="67">
        <f t="shared" si="19"/>
        <v>9.8214135803814688</v>
      </c>
      <c r="Z119" s="431" t="s">
        <v>55</v>
      </c>
    </row>
    <row r="120" spans="1:26">
      <c r="A120" s="70" t="s">
        <v>46</v>
      </c>
      <c r="B120" s="67">
        <f>(B64/3.67)/0.483</f>
        <v>0.17059590095960195</v>
      </c>
      <c r="C120" s="67">
        <f t="shared" ref="C120:Y120" si="20">(C64/3.67)/0.483</f>
        <v>0.3770738064210401</v>
      </c>
      <c r="D120" s="67">
        <f t="shared" si="20"/>
        <v>9.83201042530506E-2</v>
      </c>
      <c r="E120" s="67">
        <f t="shared" si="20"/>
        <v>6.482644236464874E-2</v>
      </c>
      <c r="F120" s="67">
        <f t="shared" si="20"/>
        <v>6.0575084197877711</v>
      </c>
      <c r="G120" s="67">
        <f t="shared" si="20"/>
        <v>13.389112777204236</v>
      </c>
      <c r="H120" s="67">
        <f t="shared" si="20"/>
        <v>3.4911440192710184</v>
      </c>
      <c r="I120" s="67">
        <f t="shared" si="20"/>
        <v>2.301853199519353</v>
      </c>
      <c r="J120" s="67">
        <f t="shared" si="20"/>
        <v>18.998426049723292</v>
      </c>
      <c r="K120" s="67">
        <f t="shared" si="20"/>
        <v>41.992854378571714</v>
      </c>
      <c r="L120" s="67">
        <f t="shared" si="20"/>
        <v>10.949426213323857</v>
      </c>
      <c r="M120" s="67">
        <f t="shared" si="20"/>
        <v>7.2194018988948487</v>
      </c>
      <c r="N120" s="67">
        <f t="shared" si="20"/>
        <v>39.824665324013743</v>
      </c>
      <c r="O120" s="67">
        <f t="shared" si="20"/>
        <v>88.025785254511717</v>
      </c>
      <c r="P120" s="67">
        <f t="shared" si="20"/>
        <v>22.952282115073253</v>
      </c>
      <c r="Q120" s="67">
        <f t="shared" si="20"/>
        <v>15.133372823125223</v>
      </c>
      <c r="R120" s="67">
        <f t="shared" si="20"/>
        <v>68.602569093032315</v>
      </c>
      <c r="S120" s="67">
        <f t="shared" si="20"/>
        <v>151.63454521863238</v>
      </c>
      <c r="T120" s="67">
        <f t="shared" si="20"/>
        <v>39.537947320617626</v>
      </c>
      <c r="U120" s="67">
        <f t="shared" si="20"/>
        <v>26.068976255352279</v>
      </c>
      <c r="V120" s="67">
        <f t="shared" si="20"/>
        <v>105.15341784148796</v>
      </c>
      <c r="W120" s="67">
        <f t="shared" si="20"/>
        <v>232.42410456896891</v>
      </c>
      <c r="X120" s="67">
        <f t="shared" si="20"/>
        <v>60.603419815977567</v>
      </c>
      <c r="Y120" s="67">
        <f t="shared" si="20"/>
        <v>39.958298779765435</v>
      </c>
      <c r="Z120" s="431" t="s">
        <v>55</v>
      </c>
    </row>
    <row r="121" spans="1:26">
      <c r="A121" s="70" t="s">
        <v>47</v>
      </c>
      <c r="B121" s="67">
        <f>(B65/3.67)/0.5</f>
        <v>2.1384196185286104E-2</v>
      </c>
      <c r="C121" s="67">
        <f t="shared" ref="C121:Y123" si="21">(C65/3.67)/0.5</f>
        <v>2.3105722070844683E-2</v>
      </c>
      <c r="D121" s="67">
        <f t="shared" si="21"/>
        <v>1.5447825613079018E-2</v>
      </c>
      <c r="E121" s="67">
        <f t="shared" si="21"/>
        <v>5.4573514986376009E-3</v>
      </c>
      <c r="F121" s="67">
        <f t="shared" si="21"/>
        <v>0.78943324250681202</v>
      </c>
      <c r="G121" s="67">
        <f t="shared" si="21"/>
        <v>0.85298623978201615</v>
      </c>
      <c r="H121" s="67">
        <f t="shared" si="21"/>
        <v>0.57028222888283375</v>
      </c>
      <c r="I121" s="67">
        <f t="shared" si="21"/>
        <v>0.20146722615803808</v>
      </c>
      <c r="J121" s="67">
        <f t="shared" si="21"/>
        <v>3.6762997275204361</v>
      </c>
      <c r="K121" s="67">
        <f t="shared" si="21"/>
        <v>3.9722587193460481</v>
      </c>
      <c r="L121" s="67">
        <f t="shared" si="21"/>
        <v>2.6557386866485011</v>
      </c>
      <c r="M121" s="67">
        <f t="shared" si="21"/>
        <v>0.93820967847411418</v>
      </c>
      <c r="N121" s="67">
        <f t="shared" si="21"/>
        <v>9.1702561307901913</v>
      </c>
      <c r="O121" s="67">
        <f t="shared" si="21"/>
        <v>9.908503814713896</v>
      </c>
      <c r="P121" s="67">
        <f t="shared" si="21"/>
        <v>6.6245425504087203</v>
      </c>
      <c r="Q121" s="67">
        <f t="shared" si="21"/>
        <v>2.3402942343324247</v>
      </c>
      <c r="R121" s="67">
        <f t="shared" si="21"/>
        <v>17.481580381471389</v>
      </c>
      <c r="S121" s="67">
        <f t="shared" si="21"/>
        <v>18.888927792915535</v>
      </c>
      <c r="T121" s="67">
        <f t="shared" si="21"/>
        <v>12.628597438692099</v>
      </c>
      <c r="U121" s="67">
        <f t="shared" si="21"/>
        <v>4.4613848501362403</v>
      </c>
      <c r="V121" s="67">
        <f t="shared" si="21"/>
        <v>28.669079019073571</v>
      </c>
      <c r="W121" s="67">
        <f t="shared" si="21"/>
        <v>30.977071389645772</v>
      </c>
      <c r="X121" s="67">
        <f t="shared" si="21"/>
        <v>20.710384871934604</v>
      </c>
      <c r="Y121" s="67">
        <f t="shared" si="21"/>
        <v>7.3164892425068109</v>
      </c>
      <c r="Z121" s="431" t="s">
        <v>55</v>
      </c>
    </row>
    <row r="122" spans="1:26">
      <c r="A122" s="70" t="s">
        <v>48</v>
      </c>
      <c r="B122" s="67">
        <f>(B66/3.67)/0.5</f>
        <v>2.3166212534059948E-2</v>
      </c>
      <c r="C122" s="67">
        <f t="shared" ref="C122:Q122" si="22">(C66/3.67)/0.5</f>
        <v>2.5031198910081744E-2</v>
      </c>
      <c r="D122" s="67">
        <f t="shared" si="22"/>
        <v>1.6735144414168939E-2</v>
      </c>
      <c r="E122" s="67">
        <f t="shared" si="22"/>
        <v>5.9121307901907356E-3</v>
      </c>
      <c r="F122" s="67">
        <f t="shared" si="22"/>
        <v>0.83398365122615803</v>
      </c>
      <c r="G122" s="67">
        <f t="shared" si="22"/>
        <v>0.90112316076294263</v>
      </c>
      <c r="H122" s="67">
        <f t="shared" si="22"/>
        <v>0.60246519891008166</v>
      </c>
      <c r="I122" s="67">
        <f t="shared" si="22"/>
        <v>0.21283670844686645</v>
      </c>
      <c r="J122" s="67">
        <f t="shared" si="22"/>
        <v>3.90083378746594</v>
      </c>
      <c r="K122" s="67">
        <f t="shared" si="22"/>
        <v>4.214868801089918</v>
      </c>
      <c r="L122" s="67">
        <f t="shared" si="22"/>
        <v>2.8179408555858307</v>
      </c>
      <c r="M122" s="67">
        <f t="shared" si="22"/>
        <v>0.99551186920980927</v>
      </c>
      <c r="N122" s="67">
        <f t="shared" si="22"/>
        <v>9.713771117166214</v>
      </c>
      <c r="O122" s="67">
        <f t="shared" si="22"/>
        <v>10.495774250681199</v>
      </c>
      <c r="P122" s="67">
        <f t="shared" si="22"/>
        <v>7.0171747847411439</v>
      </c>
      <c r="Q122" s="67">
        <f t="shared" si="22"/>
        <v>2.4790019182561309</v>
      </c>
      <c r="R122" s="67">
        <f t="shared" si="21"/>
        <v>18.454561307901908</v>
      </c>
      <c r="S122" s="67">
        <f t="shared" si="21"/>
        <v>19.940238147138963</v>
      </c>
      <c r="T122" s="67">
        <f t="shared" si="21"/>
        <v>13.331473504087194</v>
      </c>
      <c r="U122" s="67">
        <f t="shared" si="21"/>
        <v>4.7096943433242506</v>
      </c>
      <c r="V122" s="67">
        <f t="shared" si="21"/>
        <v>30.157062670299727</v>
      </c>
      <c r="W122" s="67">
        <f t="shared" si="21"/>
        <v>32.584844550408718</v>
      </c>
      <c r="X122" s="67">
        <f t="shared" si="21"/>
        <v>21.785296070844687</v>
      </c>
      <c r="Y122" s="67">
        <f t="shared" si="21"/>
        <v>7.6962299509536773</v>
      </c>
      <c r="Z122" s="431" t="s">
        <v>55</v>
      </c>
    </row>
    <row r="123" spans="1:26">
      <c r="A123" s="70" t="s">
        <v>49</v>
      </c>
      <c r="B123" s="67">
        <f>(B67/3.67)/0.5</f>
        <v>2.1384196185286104E-2</v>
      </c>
      <c r="C123" s="67">
        <f t="shared" si="21"/>
        <v>2.3105722070844683E-2</v>
      </c>
      <c r="D123" s="67">
        <f t="shared" si="21"/>
        <v>1.5447825613079018E-2</v>
      </c>
      <c r="E123" s="67">
        <f t="shared" si="21"/>
        <v>5.4573514986376009E-3</v>
      </c>
      <c r="F123" s="67">
        <f t="shared" si="21"/>
        <v>0.77339509536784745</v>
      </c>
      <c r="G123" s="67">
        <f t="shared" si="21"/>
        <v>0.83565694822888281</v>
      </c>
      <c r="H123" s="67">
        <f t="shared" si="21"/>
        <v>0.55869635967302445</v>
      </c>
      <c r="I123" s="67">
        <f t="shared" si="21"/>
        <v>0.19737421253405993</v>
      </c>
      <c r="J123" s="67">
        <f t="shared" si="21"/>
        <v>3.6513514986376019</v>
      </c>
      <c r="K123" s="67">
        <f t="shared" si="21"/>
        <v>3.9453020435967301</v>
      </c>
      <c r="L123" s="67">
        <f t="shared" si="21"/>
        <v>2.6377162234332423</v>
      </c>
      <c r="M123" s="67">
        <f t="shared" si="21"/>
        <v>0.93184276839237035</v>
      </c>
      <c r="N123" s="67">
        <f t="shared" si="21"/>
        <v>9.2522288828337871</v>
      </c>
      <c r="O123" s="67">
        <f t="shared" si="21"/>
        <v>9.9970757493188014</v>
      </c>
      <c r="P123" s="67">
        <f t="shared" si="21"/>
        <v>6.6837592152588554</v>
      </c>
      <c r="Q123" s="67">
        <f t="shared" si="21"/>
        <v>2.3612140817438689</v>
      </c>
      <c r="R123" s="67">
        <f t="shared" si="21"/>
        <v>17.912828337874661</v>
      </c>
      <c r="S123" s="67">
        <f t="shared" si="21"/>
        <v>19.354893188010898</v>
      </c>
      <c r="T123" s="67">
        <f t="shared" si="21"/>
        <v>12.940128588555858</v>
      </c>
      <c r="U123" s="67">
        <f t="shared" si="21"/>
        <v>4.571441438692097</v>
      </c>
      <c r="V123" s="67">
        <f t="shared" si="21"/>
        <v>29.811351498637602</v>
      </c>
      <c r="W123" s="67">
        <f t="shared" si="21"/>
        <v>32.211302043596724</v>
      </c>
      <c r="X123" s="67">
        <f t="shared" si="21"/>
        <v>21.53555622343324</v>
      </c>
      <c r="Y123" s="67">
        <f t="shared" si="21"/>
        <v>7.6080027683923692</v>
      </c>
      <c r="Z123" s="431" t="s">
        <v>55</v>
      </c>
    </row>
    <row r="124" spans="1:26">
      <c r="A124" s="432" t="s">
        <v>50</v>
      </c>
      <c r="B124" s="67">
        <f>(B68/3.67)/0.5</f>
        <v>1.194550408719346E-2</v>
      </c>
      <c r="C124" s="67">
        <f t="shared" ref="C124:Y127" si="23">(C68/3.67)/0.5</f>
        <v>1.876917711171662E-2</v>
      </c>
      <c r="D124" s="67">
        <f t="shared" si="23"/>
        <v>6.1719891008174387E-3</v>
      </c>
      <c r="E124" s="67">
        <f t="shared" si="23"/>
        <v>6.7100599455040873E-3</v>
      </c>
      <c r="F124" s="67">
        <f t="shared" si="23"/>
        <v>0.4016675749318801</v>
      </c>
      <c r="G124" s="67">
        <f t="shared" si="23"/>
        <v>0.63111358038147136</v>
      </c>
      <c r="H124" s="67">
        <f t="shared" si="23"/>
        <v>0.20753313351498637</v>
      </c>
      <c r="I124" s="67">
        <f t="shared" si="23"/>
        <v>0.22562576566757495</v>
      </c>
      <c r="J124" s="67">
        <f t="shared" si="23"/>
        <v>1.557395095367847</v>
      </c>
      <c r="K124" s="67">
        <f t="shared" si="23"/>
        <v>2.4470314659400545</v>
      </c>
      <c r="L124" s="67">
        <f t="shared" si="23"/>
        <v>0.80467307901907359</v>
      </c>
      <c r="M124" s="67">
        <f t="shared" si="23"/>
        <v>0.87482406539509538</v>
      </c>
      <c r="N124" s="67">
        <f t="shared" si="23"/>
        <v>3.277547683923705</v>
      </c>
      <c r="O124" s="67">
        <f t="shared" si="23"/>
        <v>5.1497929700272467</v>
      </c>
      <c r="P124" s="67">
        <f t="shared" si="23"/>
        <v>1.6934395095367847</v>
      </c>
      <c r="Q124" s="67">
        <f t="shared" si="23"/>
        <v>1.8410726975476839</v>
      </c>
      <c r="R124" s="67">
        <f t="shared" si="23"/>
        <v>5.487465940054495</v>
      </c>
      <c r="S124" s="67">
        <f t="shared" si="23"/>
        <v>8.6220907356948224</v>
      </c>
      <c r="T124" s="67">
        <f t="shared" si="23"/>
        <v>2.8352574931880112</v>
      </c>
      <c r="U124" s="67">
        <f t="shared" si="23"/>
        <v>3.08243378746594</v>
      </c>
      <c r="V124" s="67">
        <f t="shared" si="23"/>
        <v>8.1438474114441401</v>
      </c>
      <c r="W124" s="67">
        <f t="shared" si="23"/>
        <v>12.795886495912804</v>
      </c>
      <c r="X124" s="67">
        <f t="shared" si="23"/>
        <v>4.2077535694822883</v>
      </c>
      <c r="Y124" s="67">
        <f t="shared" si="23"/>
        <v>4.5745833678474117</v>
      </c>
      <c r="Z124" s="431" t="s">
        <v>56</v>
      </c>
    </row>
    <row r="125" spans="1:26">
      <c r="A125" s="70" t="s">
        <v>51</v>
      </c>
      <c r="B125" s="67">
        <f t="shared" ref="B125:Q127" si="24">(B69/3.67)/0.5</f>
        <v>3.0294277929155317E-2</v>
      </c>
      <c r="C125" s="67">
        <f t="shared" si="24"/>
        <v>3.2733106267029972E-2</v>
      </c>
      <c r="D125" s="67">
        <f t="shared" si="24"/>
        <v>2.1884419618528612E-2</v>
      </c>
      <c r="E125" s="67">
        <f t="shared" si="24"/>
        <v>7.7312479564032692E-3</v>
      </c>
      <c r="F125" s="67">
        <f t="shared" si="24"/>
        <v>1.0834659400544959</v>
      </c>
      <c r="G125" s="67">
        <f t="shared" si="24"/>
        <v>1.1706899182561306</v>
      </c>
      <c r="H125" s="67">
        <f t="shared" si="24"/>
        <v>0.78268983106267032</v>
      </c>
      <c r="I125" s="67">
        <f t="shared" si="24"/>
        <v>0.27650580926430518</v>
      </c>
      <c r="J125" s="67">
        <f t="shared" si="24"/>
        <v>4.7847138964577667</v>
      </c>
      <c r="K125" s="67">
        <f t="shared" si="24"/>
        <v>5.1699053133514985</v>
      </c>
      <c r="L125" s="67">
        <f t="shared" si="24"/>
        <v>3.4564509809264305</v>
      </c>
      <c r="M125" s="67">
        <f t="shared" si="24"/>
        <v>1.2210823978201635</v>
      </c>
      <c r="N125" s="67">
        <f t="shared" si="24"/>
        <v>11.224920980926433</v>
      </c>
      <c r="O125" s="67">
        <f t="shared" si="24"/>
        <v>12.128578610354223</v>
      </c>
      <c r="P125" s="67">
        <f t="shared" si="24"/>
        <v>8.1088211280653955</v>
      </c>
      <c r="Q125" s="67">
        <f t="shared" si="24"/>
        <v>2.864654757493188</v>
      </c>
      <c r="R125" s="67">
        <f t="shared" si="23"/>
        <v>20.290038147138965</v>
      </c>
      <c r="S125" s="67">
        <f t="shared" si="23"/>
        <v>21.923479291553132</v>
      </c>
      <c r="T125" s="67">
        <f t="shared" si="23"/>
        <v>14.65741186920981</v>
      </c>
      <c r="U125" s="67">
        <f t="shared" si="23"/>
        <v>5.1781170136239769</v>
      </c>
      <c r="V125" s="67">
        <f t="shared" si="23"/>
        <v>31.874926430517711</v>
      </c>
      <c r="W125" s="67">
        <f t="shared" si="23"/>
        <v>34.441004223433247</v>
      </c>
      <c r="X125" s="67">
        <f t="shared" si="23"/>
        <v>23.026271395095367</v>
      </c>
      <c r="Y125" s="67">
        <f t="shared" si="23"/>
        <v>8.134637188010899</v>
      </c>
      <c r="Z125" s="431" t="s">
        <v>55</v>
      </c>
    </row>
    <row r="126" spans="1:26">
      <c r="A126" s="70" t="s">
        <v>52</v>
      </c>
      <c r="B126" s="67">
        <f t="shared" si="24"/>
        <v>2.8512261580381476E-2</v>
      </c>
      <c r="C126" s="67">
        <f t="shared" si="23"/>
        <v>3.0807629427792915E-2</v>
      </c>
      <c r="D126" s="67">
        <f t="shared" si="23"/>
        <v>2.0597100817438697E-2</v>
      </c>
      <c r="E126" s="67">
        <f t="shared" si="23"/>
        <v>7.2764686648501362E-3</v>
      </c>
      <c r="F126" s="67">
        <f t="shared" si="23"/>
        <v>1.0050572207084469</v>
      </c>
      <c r="G126" s="67">
        <f t="shared" si="23"/>
        <v>1.0859689373297001</v>
      </c>
      <c r="H126" s="67">
        <f t="shared" si="23"/>
        <v>0.7260478038147139</v>
      </c>
      <c r="I126" s="67">
        <f t="shared" si="23"/>
        <v>0.25649552043596724</v>
      </c>
      <c r="J126" s="67">
        <f t="shared" si="23"/>
        <v>2.3201852861035421</v>
      </c>
      <c r="K126" s="67">
        <f t="shared" si="23"/>
        <v>2.5069708446866485</v>
      </c>
      <c r="L126" s="67">
        <f t="shared" si="23"/>
        <v>1.6760890790190737</v>
      </c>
      <c r="M126" s="67">
        <f t="shared" si="23"/>
        <v>0.59212263760217976</v>
      </c>
      <c r="N126" s="67">
        <f t="shared" si="23"/>
        <v>5.1072588555858314</v>
      </c>
      <c r="O126" s="67">
        <f t="shared" si="23"/>
        <v>5.5184166212534054</v>
      </c>
      <c r="P126" s="67">
        <f t="shared" si="23"/>
        <v>3.6894556839237058</v>
      </c>
      <c r="Q126" s="67">
        <f t="shared" si="23"/>
        <v>1.3033974495912803</v>
      </c>
      <c r="R126" s="67">
        <f t="shared" si="23"/>
        <v>11.871792915531337</v>
      </c>
      <c r="S126" s="67">
        <f t="shared" si="23"/>
        <v>12.827526702997275</v>
      </c>
      <c r="T126" s="67">
        <f t="shared" si="23"/>
        <v>8.5761178528610351</v>
      </c>
      <c r="U126" s="67">
        <f t="shared" si="23"/>
        <v>3.0297396403269752</v>
      </c>
      <c r="V126" s="67">
        <f t="shared" si="23"/>
        <v>14.245438692098093</v>
      </c>
      <c r="W126" s="67">
        <f t="shared" si="23"/>
        <v>15.392261852861035</v>
      </c>
      <c r="X126" s="67">
        <f t="shared" si="23"/>
        <v>10.290826495912807</v>
      </c>
      <c r="Y126" s="67">
        <f t="shared" si="23"/>
        <v>3.6355056566757487</v>
      </c>
      <c r="Z126" s="431" t="s">
        <v>55</v>
      </c>
    </row>
    <row r="127" spans="1:26" ht="15.75" thickBot="1">
      <c r="A127" s="435" t="s">
        <v>53</v>
      </c>
      <c r="B127" s="439">
        <f t="shared" si="24"/>
        <v>2.6877384196185281E-2</v>
      </c>
      <c r="C127" s="439">
        <f t="shared" si="23"/>
        <v>4.2230648501362392E-2</v>
      </c>
      <c r="D127" s="439">
        <f t="shared" si="23"/>
        <v>1.3886975476839236E-2</v>
      </c>
      <c r="E127" s="439">
        <f t="shared" si="23"/>
        <v>1.5097634877384195E-2</v>
      </c>
      <c r="F127" s="439">
        <f t="shared" si="23"/>
        <v>0.94070844686648492</v>
      </c>
      <c r="G127" s="439">
        <f t="shared" si="23"/>
        <v>1.4780726975476837</v>
      </c>
      <c r="H127" s="439">
        <f t="shared" si="23"/>
        <v>0.48604414168937327</v>
      </c>
      <c r="I127" s="439">
        <f t="shared" si="23"/>
        <v>0.52841722070844677</v>
      </c>
      <c r="J127" s="439">
        <f t="shared" si="23"/>
        <v>2.171095367847411</v>
      </c>
      <c r="K127" s="439">
        <f t="shared" si="23"/>
        <v>3.4112979400544958</v>
      </c>
      <c r="L127" s="439">
        <f t="shared" si="23"/>
        <v>1.1217590190735696</v>
      </c>
      <c r="M127" s="439">
        <f t="shared" si="23"/>
        <v>1.2195533950953679</v>
      </c>
      <c r="N127" s="439">
        <f t="shared" si="23"/>
        <v>4.7528174386920972</v>
      </c>
      <c r="O127" s="439">
        <f t="shared" si="23"/>
        <v>7.4677863433242493</v>
      </c>
      <c r="P127" s="439">
        <f t="shared" si="23"/>
        <v>2.4556801634877385</v>
      </c>
      <c r="Q127" s="439">
        <f t="shared" si="23"/>
        <v>2.6697651008174383</v>
      </c>
      <c r="R127" s="439">
        <f t="shared" si="23"/>
        <v>7.2150844686648492</v>
      </c>
      <c r="S127" s="439">
        <f t="shared" si="23"/>
        <v>11.336582975476839</v>
      </c>
      <c r="T127" s="439">
        <f t="shared" si="23"/>
        <v>3.7278814168937333</v>
      </c>
      <c r="U127" s="439">
        <f t="shared" si="23"/>
        <v>4.0528762070844691</v>
      </c>
      <c r="V127" s="439">
        <f t="shared" si="23"/>
        <v>8.657504087193459</v>
      </c>
      <c r="W127" s="439">
        <f t="shared" si="23"/>
        <v>13.60296111171662</v>
      </c>
      <c r="X127" s="439">
        <f t="shared" si="23"/>
        <v>4.4731491008174391</v>
      </c>
      <c r="Y127" s="439">
        <f t="shared" si="23"/>
        <v>4.8631159455040871</v>
      </c>
      <c r="Z127" s="69" t="s">
        <v>55</v>
      </c>
    </row>
    <row r="129" spans="1:7" ht="15.75" thickBot="1">
      <c r="A129" s="43" t="s">
        <v>101</v>
      </c>
    </row>
    <row r="130" spans="1:7">
      <c r="A130" s="31" t="s">
        <v>25</v>
      </c>
      <c r="B130" s="32" t="s">
        <v>95</v>
      </c>
      <c r="C130" s="33" t="s">
        <v>96</v>
      </c>
    </row>
    <row r="131" spans="1:7" ht="15.75" thickBot="1">
      <c r="A131" s="38" t="s">
        <v>94</v>
      </c>
      <c r="B131" s="39">
        <v>1.1999999999999999E-3</v>
      </c>
      <c r="C131" s="41">
        <v>1.4999999999999999E-4</v>
      </c>
    </row>
    <row r="133" spans="1:7" ht="15.75" thickBot="1">
      <c r="A133" s="43" t="s">
        <v>106</v>
      </c>
    </row>
    <row r="134" spans="1:7">
      <c r="A134" s="31" t="s">
        <v>102</v>
      </c>
      <c r="B134" s="32" t="s">
        <v>103</v>
      </c>
      <c r="C134" s="33"/>
    </row>
    <row r="135" spans="1:7">
      <c r="A135" s="34" t="s">
        <v>18</v>
      </c>
      <c r="B135" s="35">
        <v>27.9</v>
      </c>
      <c r="C135" s="36" t="s">
        <v>104</v>
      </c>
    </row>
    <row r="136" spans="1:7" ht="15.75" thickBot="1">
      <c r="A136" s="38" t="s">
        <v>19</v>
      </c>
      <c r="B136" s="39">
        <v>273</v>
      </c>
      <c r="C136" s="41" t="s">
        <v>105</v>
      </c>
    </row>
    <row r="138" spans="1:7">
      <c r="A138" s="28" t="s">
        <v>24</v>
      </c>
      <c r="B138" s="29"/>
      <c r="C138" s="29"/>
      <c r="D138" s="29"/>
      <c r="E138" s="29"/>
      <c r="F138" s="29"/>
      <c r="G138" s="29"/>
    </row>
    <row r="140" spans="1:7" ht="15.75" thickBot="1">
      <c r="A140" s="43" t="s">
        <v>109</v>
      </c>
    </row>
    <row r="141" spans="1:7">
      <c r="A141" s="31" t="s">
        <v>107</v>
      </c>
      <c r="B141" s="33" t="s">
        <v>108</v>
      </c>
    </row>
    <row r="142" spans="1:7">
      <c r="A142" s="34" t="s">
        <v>141</v>
      </c>
      <c r="B142" s="36">
        <v>100</v>
      </c>
    </row>
    <row r="143" spans="1:7">
      <c r="A143" s="34" t="s">
        <v>142</v>
      </c>
      <c r="B143" s="36">
        <v>75</v>
      </c>
    </row>
    <row r="144" spans="1:7">
      <c r="A144" s="34" t="s">
        <v>143</v>
      </c>
      <c r="B144" s="36">
        <v>0</v>
      </c>
    </row>
    <row r="145" spans="1:2" ht="15.75" thickBot="1">
      <c r="A145" s="68" t="s">
        <v>144</v>
      </c>
      <c r="B145" s="69">
        <v>0</v>
      </c>
    </row>
  </sheetData>
  <sheetProtection sheet="1" objects="1" scenarios="1"/>
  <pageMargins left="0.7" right="0.7" top="0.75" bottom="0.75" header="0.3" footer="0.3"/>
  <pageSetup paperSize="9" orientation="portrait"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91487aaef5e7e1f5e2fa2c7fb1d40c61">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6d8a2e29e14ef2225763ec270f2c5418"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K7W4MJYM7X6U-1861046665-1241482</_dlc_DocId>
    <_dlc_DocIdUrl xmlns="1481b64c-d1ba-41b1-9a65-625d31fff0bb">
      <Url>https://caib.sharepoint.com/sites/ARXIUS-ENERGIA/_layouts/15/DocIdRedir.aspx?ID=K7W4MJYM7X6U-1861046665-1241482</Url>
      <Description>K7W4MJYM7X6U-1861046665-1241482</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92D2A3-519B-46DC-A576-CDBF5F625E3B}">
  <ds:schemaRefs>
    <ds:schemaRef ds:uri="http://schemas.microsoft.com/sharepoint/events"/>
  </ds:schemaRefs>
</ds:datastoreItem>
</file>

<file path=customXml/itemProps2.xml><?xml version="1.0" encoding="utf-8"?>
<ds:datastoreItem xmlns:ds="http://schemas.openxmlformats.org/officeDocument/2006/customXml" ds:itemID="{D4865CDF-37DD-4ACB-91FE-05F9751818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1b64c-d1ba-41b1-9a65-625d31fff0bb"/>
    <ds:schemaRef ds:uri="51deb843-d53c-4f8e-b6ae-1d7f0d153c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4280C7-54F2-4C18-B194-909BBE8D97F1}">
  <ds:schemaRefs>
    <ds:schemaRef ds:uri="http://schemas.microsoft.com/office/2006/metadata/properties"/>
    <ds:schemaRef ds:uri="http://schemas.microsoft.com/office/infopath/2007/PartnerControls"/>
    <ds:schemaRef ds:uri="51deb843-d53c-4f8e-b6ae-1d7f0d153c77"/>
    <ds:schemaRef ds:uri="1481b64c-d1ba-41b1-9a65-625d31fff0bb"/>
  </ds:schemaRefs>
</ds:datastoreItem>
</file>

<file path=customXml/itemProps4.xml><?xml version="1.0" encoding="utf-8"?>
<ds:datastoreItem xmlns:ds="http://schemas.openxmlformats.org/officeDocument/2006/customXml" ds:itemID="{EF4CD8E1-3426-4516-B5BA-4BFB787DB4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Contingut i instruccions</vt:lpstr>
      <vt:lpstr>1. Dades generals del projecte</vt:lpstr>
      <vt:lpstr>2.1 Absorcions arbres</vt:lpstr>
      <vt:lpstr>2.2 Emissions restes tallada</vt:lpstr>
      <vt:lpstr>2.3 Emissions maquinària</vt:lpstr>
      <vt:lpstr>2.4 Emissions crema restes</vt:lpstr>
      <vt:lpstr>2.5 Emissions productes</vt:lpstr>
      <vt:lpstr>3. Resultats</vt:lpstr>
      <vt:lpstr>Dades_PA</vt:lpstr>
      <vt:lpstr>Anys</vt:lpstr>
      <vt:lpstr>'3. Resultats'!Área_de_impresión</vt:lpstr>
      <vt:lpstr>Espècies</vt:lpstr>
      <vt:lpstr>Producte</vt:lpstr>
      <vt:lpstr>Restes</vt:lpstr>
      <vt:lpstr>Tractament</vt:lpstr>
    </vt:vector>
  </TitlesOfParts>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dc:creator>
  <cp:lastModifiedBy>u142669</cp:lastModifiedBy>
  <cp:revision>68</cp:revision>
  <cp:lastPrinted>2026-02-06T08:36:26Z</cp:lastPrinted>
  <dcterms:created xsi:type="dcterms:W3CDTF">2012-12-08T19:19:39Z</dcterms:created>
  <dcterms:modified xsi:type="dcterms:W3CDTF">2026-02-12T09:35:23Z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0x010100669547EA90F71443837268004635B05D</vt:lpwstr>
  </property>
  <property fmtid="{D5CDD505-2E9C-101B-9397-08002B2CF9AE}" pid="9" name="Order">
    <vt:r8>19766200</vt:r8>
  </property>
  <property fmtid="{D5CDD505-2E9C-101B-9397-08002B2CF9AE}" pid="10" name="MediaServiceImageTags">
    <vt:lpwstr/>
  </property>
  <property fmtid="{D5CDD505-2E9C-101B-9397-08002B2CF9AE}" pid="11" name="_dlc_DocIdItemGuid">
    <vt:lpwstr>3138d2f6-6aed-4f3e-a038-49d4d0961f1c</vt:lpwstr>
  </property>
</Properties>
</file>